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1合计下达表" sheetId="1" r:id="rId1"/>
    <sheet name="附件1合计下达表 (2)" sheetId="2" state="hidden" r:id="rId2"/>
    <sheet name="附件2家困生补助" sheetId="3" state="hidden" r:id="rId3"/>
    <sheet name="附件5校舍安全1" sheetId="4" state="hidden" r:id="rId4"/>
    <sheet name="附件5特岗教师" sheetId="5" state="hidden" r:id="rId5"/>
  </sheets>
  <definedNames>
    <definedName name="_xlnm.Print_Area" localSheetId="3">附件5校舍安全1!$A$1:$P$99</definedName>
    <definedName name="_xlnm.Print_Titles" localSheetId="3">附件5校舍安全1!$1:$5</definedName>
    <definedName name="_xlnm.Print_Area" localSheetId="4">附件5特岗教师!$A$4:$M$61</definedName>
    <definedName name="_xlnm.Print_Titles" localSheetId="4">附件5特岗教师!$1:$6</definedName>
    <definedName name="_xlnm.Print_Area" localSheetId="0">附件1合计下达表!$A$1:$I$110</definedName>
    <definedName name="_xlnm.Print_Titles" localSheetId="0">附件1合计下达表!$2:$5</definedName>
    <definedName name="_xlnm._FilterDatabase" localSheetId="0" hidden="1">附件1合计下达表!$A$18:$I$18</definedName>
    <definedName name="_xlnm.Print_Area" localSheetId="2">附件2家困生补助!$A$1:$G$108</definedName>
    <definedName name="_xlnm.Print_Titles" localSheetId="2">附件2家困生补助!$1:$5</definedName>
    <definedName name="_xlnm.Print_Area" localSheetId="1">'附件1合计下达表 (2)'!$A$1:$AP$106</definedName>
    <definedName name="_xlnm.Print_Titles" localSheetId="1">'附件1合计下达表 (2)'!$2:$5</definedName>
    <definedName name="_xlnm._FilterDatabase" localSheetId="1" hidden="1">'附件1合计下达表 (2)'!$A$17:$AV$17</definedName>
  </definedNames>
  <calcPr calcId="144525" concurrentCalc="0"/>
</workbook>
</file>

<file path=xl/comments1.xml><?xml version="1.0" encoding="utf-8"?>
<comments xmlns="http://schemas.openxmlformats.org/spreadsheetml/2006/main">
  <authors>
    <author>lenovo</author>
  </authors>
  <commentList>
    <comment ref="F9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5</t>
        </r>
      </text>
    </comment>
    <comment ref="F10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6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V</author>
  </authors>
  <commentList>
    <comment ref="R2" authorId="0">
      <text>
        <r>
          <rPr>
            <b/>
            <sz val="9"/>
            <rFont val="宋体"/>
            <charset val="134"/>
          </rPr>
          <t xml:space="preserve">中央直达
</t>
        </r>
      </text>
    </comment>
    <comment ref="I8" authorId="1">
      <text>
        <r>
          <rPr>
            <b/>
            <sz val="9"/>
            <rFont val="宋体"/>
            <charset val="134"/>
          </rPr>
          <t>V:</t>
        </r>
        <r>
          <rPr>
            <sz val="9"/>
            <rFont val="宋体"/>
            <charset val="134"/>
          </rPr>
          <t xml:space="preserve">
</t>
        </r>
      </text>
    </comment>
    <comment ref="H14" authorId="1">
      <text>
        <r>
          <rPr>
            <b/>
            <sz val="9"/>
            <rFont val="宋体"/>
            <charset val="134"/>
          </rPr>
          <t>V:</t>
        </r>
        <r>
          <rPr>
            <sz val="9"/>
            <rFont val="宋体"/>
            <charset val="134"/>
          </rPr>
          <t xml:space="preserve">
</t>
        </r>
      </text>
    </comment>
    <comment ref="M81" authorId="1">
      <text>
        <r>
          <rPr>
            <b/>
            <sz val="9"/>
            <rFont val="宋体"/>
            <charset val="134"/>
          </rPr>
          <t>V:</t>
        </r>
        <r>
          <rPr>
            <sz val="9"/>
            <rFont val="宋体"/>
            <charset val="134"/>
          </rPr>
          <t xml:space="preserve">
</t>
        </r>
      </text>
    </comment>
    <comment ref="O83" authorId="1">
      <text>
        <r>
          <rPr>
            <b/>
            <sz val="9"/>
            <rFont val="宋体"/>
            <charset val="134"/>
          </rPr>
          <t>V: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3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lenovo</author>
  </authors>
  <commentList>
    <comment ref="P2" authorId="0">
      <text>
        <r>
          <rPr>
            <b/>
            <sz val="12"/>
            <rFont val="宋体"/>
            <charset val="134"/>
          </rPr>
          <t xml:space="preserve">中央直达
</t>
        </r>
      </text>
    </comment>
    <comment ref="C4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补1.2万元</t>
        </r>
      </text>
    </comment>
    <comment ref="D4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抵顶1.2</t>
        </r>
      </text>
    </comment>
    <comment ref="E48" authorId="0">
      <text>
        <r>
          <rPr>
            <b/>
            <sz val="9"/>
            <rFont val="宋体"/>
            <charset val="134"/>
          </rPr>
          <t>+1</t>
        </r>
      </text>
    </comment>
  </commentList>
</comments>
</file>

<file path=xl/sharedStrings.xml><?xml version="1.0" encoding="utf-8"?>
<sst xmlns="http://schemas.openxmlformats.org/spreadsheetml/2006/main" count="205">
  <si>
    <t>附件</t>
  </si>
  <si>
    <t xml:space="preserve">提前下达2022年吉林省城乡义务教育补助经费省级直达资金分配表
</t>
  </si>
  <si>
    <t>单位：万元</t>
  </si>
  <si>
    <t>地区</t>
  </si>
  <si>
    <t>提前下达合计</t>
  </si>
  <si>
    <r>
      <t>1</t>
    </r>
    <r>
      <rPr>
        <b/>
        <sz val="10"/>
        <color theme="1"/>
        <rFont val="方正仿宋简体"/>
        <charset val="134"/>
      </rPr>
      <t>、公用经费</t>
    </r>
  </si>
  <si>
    <r>
      <t>2</t>
    </r>
    <r>
      <rPr>
        <b/>
        <sz val="10"/>
        <color theme="1"/>
        <rFont val="宋体"/>
        <charset val="134"/>
      </rPr>
      <t>、家庭经济困难学生生活补助</t>
    </r>
  </si>
  <si>
    <t>3、特殊教育公用经费</t>
  </si>
  <si>
    <t>4、特教家庭经济困难学生生活补助</t>
  </si>
  <si>
    <t>5、校舍安全保障
长效机制</t>
  </si>
  <si>
    <t>6、“特岗计划”
工资性补助</t>
  </si>
  <si>
    <t>7、农村学生营养
膳食补助</t>
  </si>
  <si>
    <r>
      <rPr>
        <b/>
        <sz val="11"/>
        <color theme="1"/>
        <rFont val="方正仿宋简体"/>
        <charset val="134"/>
      </rPr>
      <t>省级资金</t>
    </r>
  </si>
  <si>
    <t>合计</t>
  </si>
  <si>
    <t>省直合计</t>
  </si>
  <si>
    <t xml:space="preserve"> 吉林出版集团股份有限公司</t>
  </si>
  <si>
    <t>吉林省实验中学</t>
  </si>
  <si>
    <t>吉林省实验繁荣学校</t>
  </si>
  <si>
    <t>吉林省第二实验学校</t>
  </si>
  <si>
    <t>吉林省第二实验高新学校</t>
  </si>
  <si>
    <t>吉林省第二实验远洋学校</t>
  </si>
  <si>
    <t>长春外国语学校</t>
  </si>
  <si>
    <t>长春外国语实验学校</t>
  </si>
  <si>
    <t>吉林省孤儿学校</t>
  </si>
  <si>
    <t>市县合计</t>
  </si>
  <si>
    <t>长春市</t>
  </si>
  <si>
    <t>直属</t>
  </si>
  <si>
    <t>南关区</t>
  </si>
  <si>
    <t>宽城区</t>
  </si>
  <si>
    <t>朝阳区</t>
  </si>
  <si>
    <t>二道区</t>
  </si>
  <si>
    <t>绿园区</t>
  </si>
  <si>
    <t>高新区</t>
  </si>
  <si>
    <t>经开区</t>
  </si>
  <si>
    <t>净月区</t>
  </si>
  <si>
    <t>汽车区</t>
  </si>
  <si>
    <t>莲花山度假区</t>
  </si>
  <si>
    <t>中韩合作区</t>
  </si>
  <si>
    <t>九台区</t>
  </si>
  <si>
    <t>双阳区</t>
  </si>
  <si>
    <t>农安县</t>
  </si>
  <si>
    <t>榆树市</t>
  </si>
  <si>
    <t>德惠市</t>
  </si>
  <si>
    <t>公主岭市</t>
  </si>
  <si>
    <t>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</si>
  <si>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</si>
  <si>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</si>
  <si>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</si>
  <si>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</si>
  <si>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</si>
  <si>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</si>
  <si>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</si>
  <si>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</si>
  <si>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</si>
  <si>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</si>
  <si>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铁西区</t>
  </si>
  <si>
    <t>铁东区</t>
  </si>
  <si>
    <t>梨树县</t>
  </si>
  <si>
    <t>伊通县</t>
  </si>
  <si>
    <t>双辽市</t>
  </si>
  <si>
    <t>辽源市</t>
  </si>
  <si>
    <t>龙山区</t>
  </si>
  <si>
    <t>西安区</t>
  </si>
  <si>
    <t>经济区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</si>
  <si>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</si>
  <si>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</si>
  <si>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</si>
  <si>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</si>
  <si>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</si>
  <si>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</si>
  <si>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</si>
  <si>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</si>
  <si>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</si>
  <si>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</si>
  <si>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</si>
  <si>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</si>
  <si>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</si>
  <si>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</si>
  <si>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</si>
  <si>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长白县</t>
  </si>
  <si>
    <t>临江市</t>
  </si>
  <si>
    <t>松原市</t>
  </si>
  <si>
    <t>宁江区</t>
  </si>
  <si>
    <t>哈达山区</t>
  </si>
  <si>
    <t>前郭县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</si>
  <si>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</si>
  <si>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</si>
  <si>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</si>
  <si>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</si>
  <si>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</si>
  <si>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</si>
  <si>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</si>
  <si>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</si>
  <si>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</si>
  <si>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</si>
  <si>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</si>
  <si>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</si>
  <si>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</si>
  <si>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</si>
  <si>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</si>
  <si>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</si>
  <si>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</si>
  <si>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</si>
  <si>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长白山管委会</t>
  </si>
  <si>
    <t>池西区</t>
  </si>
  <si>
    <t>池南区</t>
  </si>
  <si>
    <t>池北区</t>
  </si>
  <si>
    <t>附件1</t>
  </si>
  <si>
    <t xml:space="preserve">提前下达2021年吉林省城乡义务教育补助经费中央直达资金分配表
</t>
  </si>
  <si>
    <t>核定</t>
  </si>
  <si>
    <t>提前下达</t>
  </si>
  <si>
    <t>1、公用经费</t>
  </si>
  <si>
    <t>2、家庭经济困难学生
生活补助</t>
  </si>
  <si>
    <t>2、家庭经济困难学生生活补助</t>
  </si>
  <si>
    <t>3、特殊教育
公用经费</t>
  </si>
  <si>
    <t>市</t>
  </si>
  <si>
    <t>县</t>
  </si>
  <si>
    <t>中央资金</t>
  </si>
  <si>
    <t>其中：中央直达</t>
  </si>
  <si>
    <t>省级资金</t>
  </si>
  <si>
    <t>其中：提前下达1</t>
  </si>
  <si>
    <t>其中：实拨</t>
  </si>
  <si>
    <t>其中：农村义务教育</t>
  </si>
  <si>
    <t>附件3：</t>
  </si>
  <si>
    <t>提前下达2020年义务教育家庭经济困难学生生活补助分配表</t>
  </si>
  <si>
    <t>市县</t>
  </si>
  <si>
    <t>补充下达补助资金</t>
  </si>
  <si>
    <t>提前下达补助资金</t>
  </si>
  <si>
    <t>据实核定方式</t>
  </si>
  <si>
    <t>按贫困面核定资金（万元）</t>
  </si>
  <si>
    <t>核定-据实结算</t>
  </si>
  <si>
    <t>扶贫标识</t>
  </si>
  <si>
    <t>初中学生数（人）</t>
  </si>
  <si>
    <t>小学学生数（人）</t>
  </si>
  <si>
    <t>其中：公办学生数</t>
  </si>
  <si>
    <t>其中：寄宿生</t>
  </si>
  <si>
    <t>吉林省体育运动学校</t>
  </si>
  <si>
    <t>部分</t>
  </si>
  <si>
    <t>油区</t>
  </si>
  <si>
    <t>附件5：</t>
  </si>
  <si>
    <t>综合奖补</t>
  </si>
  <si>
    <t>2021年农村义务教育学校校舍安全保障长效机制补助资金分配表</t>
  </si>
  <si>
    <t>市直</t>
  </si>
  <si>
    <t>市县（单位）</t>
  </si>
  <si>
    <t>农村义务教育学校校舍安全保障合计</t>
  </si>
  <si>
    <t>农村义务教育学校校舍安全保障中央资金</t>
  </si>
  <si>
    <t>农村义务教育学校校舍安全保障省级资金</t>
  </si>
  <si>
    <t>城市校舍安全保障补助资金</t>
  </si>
  <si>
    <t>省级资金合计</t>
  </si>
  <si>
    <t>核定农村义务教育校舍补助资金</t>
  </si>
  <si>
    <t>2、省级城市义务教育校舍补助资金</t>
  </si>
  <si>
    <t xml:space="preserve"> 提前下达农村义务教育学校校舍安全保障补助资金</t>
  </si>
  <si>
    <t>提前下达省级合计</t>
  </si>
  <si>
    <t>调整系数</t>
  </si>
  <si>
    <t>公办农村学生数（人）</t>
  </si>
  <si>
    <t>公办城市学生数（人）</t>
  </si>
  <si>
    <t>核定不足100人增加到100人公用经费基准定额资金（万元）</t>
  </si>
  <si>
    <t>不足100人增加到100人（人）</t>
  </si>
  <si>
    <t>综合奖补资金</t>
  </si>
  <si>
    <t>测算中央资金</t>
  </si>
  <si>
    <t>测算省级资金</t>
  </si>
  <si>
    <t>初中</t>
  </si>
  <si>
    <t>小学</t>
  </si>
  <si>
    <t>其中：公办寄宿生</t>
  </si>
  <si>
    <t>市县安排</t>
  </si>
  <si>
    <t>否-发送</t>
  </si>
  <si>
    <t>松原经济技术开发区社会事业管理局</t>
  </si>
  <si>
    <t>松原哈达山生态农业旅游示范区社会事务管理局</t>
  </si>
  <si>
    <t>附件6：</t>
  </si>
  <si>
    <t>提前下达2020年国家和省特岗教师工资性补助资金分配表</t>
  </si>
  <si>
    <t>单位：万元、人</t>
  </si>
  <si>
    <t>补助资金</t>
  </si>
  <si>
    <t>中央直达</t>
  </si>
  <si>
    <t xml:space="preserve">特岗教师人数 </t>
  </si>
  <si>
    <t>国家特岗</t>
  </si>
  <si>
    <t>省级特岗</t>
  </si>
  <si>
    <t>国家特岗计划</t>
  </si>
  <si>
    <t>省特岗计划</t>
  </si>
  <si>
    <t>2018年招聘在岗教师（8个月）</t>
  </si>
  <si>
    <t>2019年招聘在岗教师</t>
  </si>
  <si>
    <t>2020年招聘教师</t>
  </si>
  <si>
    <t>2016级（2018年7月至2019年8月共14个月）</t>
  </si>
  <si>
    <t>2017级（2018年7月至12月及2019年全年，共18个月）</t>
  </si>
  <si>
    <t>2018级（2018年9月至12月及2019年全年，共16个月）</t>
  </si>
  <si>
    <t>2019年计划招聘1500人9月至12月，共4个月</t>
  </si>
  <si>
    <t>合 计</t>
  </si>
  <si>
    <t>其中：双阳区</t>
  </si>
  <si>
    <t>国家</t>
  </si>
  <si>
    <t>省</t>
  </si>
  <si>
    <t>2018年上岗</t>
  </si>
  <si>
    <t>其中： 铁东区</t>
  </si>
  <si>
    <t>2019年上岗</t>
  </si>
  <si>
    <t>辽源市（龙山区）</t>
  </si>
  <si>
    <t>通化市（东昌区）</t>
  </si>
  <si>
    <t>面试费</t>
  </si>
  <si>
    <t>考试</t>
  </si>
  <si>
    <t>培训</t>
  </si>
  <si>
    <t>省级合计</t>
  </si>
  <si>
    <t>其中：江源区</t>
  </si>
  <si>
    <t>2020年</t>
  </si>
  <si>
    <t>2020年上岗</t>
  </si>
  <si>
    <t>白城市（洮北区）</t>
  </si>
  <si>
    <t>其中：宁江区</t>
  </si>
  <si>
    <t>2021年</t>
  </si>
  <si>
    <t>2021年上岗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</si>
</sst>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8"/>
      <name val="宋体"/>
      <charset val="134"/>
    </font>
    <font>
      <sz val="11"/>
      <color theme="9"/>
      <name val="宋体"/>
      <charset val="134"/>
    </font>
    <font>
      <sz val="8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方正仿宋简体"/>
      <charset val="134"/>
    </font>
    <font>
      <b/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方正仿宋简体"/>
      <charset val="134"/>
    </font>
    <font>
      <b/>
      <sz val="10"/>
      <color theme="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6" fillId="2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7" fillId="29" borderId="21" applyNumberFormat="0" applyAlignment="0" applyProtection="0">
      <alignment vertical="center"/>
    </xf>
    <xf numFmtId="0" fontId="34" fillId="0" borderId="0">
      <alignment vertical="center"/>
    </xf>
    <xf numFmtId="0" fontId="48" fillId="29" borderId="20" applyNumberFormat="0" applyAlignment="0" applyProtection="0">
      <alignment vertical="center"/>
    </xf>
    <xf numFmtId="0" fontId="49" fillId="34" borderId="22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52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7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/>
    <xf numFmtId="0" fontId="6" fillId="0" borderId="0" xfId="0" applyFont="1" applyFill="1" applyAlignment="1"/>
    <xf numFmtId="0" fontId="5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0" fontId="1" fillId="0" borderId="9" xfId="0" applyFont="1" applyFill="1" applyBorder="1" applyAlignment="1"/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7" fillId="3" borderId="0" xfId="0" applyFont="1" applyFill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/>
    </xf>
    <xf numFmtId="0" fontId="8" fillId="4" borderId="0" xfId="0" applyNumberFormat="1" applyFont="1" applyFill="1" applyBorder="1" applyAlignment="1"/>
    <xf numFmtId="0" fontId="8" fillId="3" borderId="0" xfId="0" applyNumberFormat="1" applyFont="1" applyFill="1" applyBorder="1" applyAlignment="1"/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0" fontId="9" fillId="0" borderId="2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/>
    </xf>
    <xf numFmtId="0" fontId="5" fillId="6" borderId="2" xfId="0" applyNumberFormat="1" applyFont="1" applyFill="1" applyBorder="1" applyAlignment="1">
      <alignment horizontal="center" vertical="center" wrapText="1"/>
    </xf>
    <xf numFmtId="0" fontId="5" fillId="5" borderId="7" xfId="0" applyNumberFormat="1" applyFont="1" applyFill="1" applyBorder="1" applyAlignment="1">
      <alignment horizontal="left" vertical="center" wrapText="1"/>
    </xf>
    <xf numFmtId="0" fontId="5" fillId="5" borderId="7" xfId="0" applyNumberFormat="1" applyFont="1" applyFill="1" applyBorder="1" applyAlignment="1">
      <alignment horizontal="center" vertical="center" wrapText="1"/>
    </xf>
    <xf numFmtId="0" fontId="5" fillId="5" borderId="7" xfId="0" applyNumberFormat="1" applyFont="1" applyFill="1" applyBorder="1" applyAlignment="1">
      <alignment horizontal="center" vertical="center"/>
    </xf>
    <xf numFmtId="0" fontId="5" fillId="6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5" borderId="7" xfId="0" applyFont="1" applyFill="1" applyBorder="1" applyAlignment="1"/>
    <xf numFmtId="0" fontId="11" fillId="6" borderId="7" xfId="0" applyFont="1" applyFill="1" applyBorder="1" applyAlignment="1"/>
    <xf numFmtId="0" fontId="11" fillId="6" borderId="7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right" vertical="center"/>
    </xf>
    <xf numFmtId="0" fontId="12" fillId="6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/>
    </xf>
    <xf numFmtId="0" fontId="11" fillId="6" borderId="2" xfId="0" applyFont="1" applyFill="1" applyBorder="1" applyAlignment="1">
      <alignment horizontal="right"/>
    </xf>
    <xf numFmtId="0" fontId="1" fillId="0" borderId="0" xfId="0" applyNumberFormat="1" applyFont="1" applyFill="1" applyAlignment="1">
      <alignment horizontal="right" vertical="center"/>
    </xf>
    <xf numFmtId="0" fontId="5" fillId="6" borderId="2" xfId="0" applyNumberFormat="1" applyFont="1" applyFill="1" applyBorder="1" applyAlignment="1">
      <alignment horizontal="right" vertical="center" wrapText="1"/>
    </xf>
    <xf numFmtId="0" fontId="5" fillId="7" borderId="4" xfId="0" applyNumberFormat="1" applyFont="1" applyFill="1" applyBorder="1" applyAlignment="1">
      <alignment horizontal="center" vertical="center"/>
    </xf>
    <xf numFmtId="0" fontId="5" fillId="7" borderId="5" xfId="0" applyNumberFormat="1" applyFont="1" applyFill="1" applyBorder="1" applyAlignment="1">
      <alignment horizontal="center" vertical="center"/>
    </xf>
    <xf numFmtId="0" fontId="5" fillId="7" borderId="8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right"/>
    </xf>
    <xf numFmtId="0" fontId="12" fillId="6" borderId="2" xfId="0" applyFont="1" applyFill="1" applyBorder="1" applyAlignment="1">
      <alignment horizontal="right" vertical="center"/>
    </xf>
    <xf numFmtId="0" fontId="2" fillId="7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7" borderId="2" xfId="0" applyFont="1" applyFill="1" applyBorder="1" applyAlignment="1">
      <alignment horizontal="right"/>
    </xf>
    <xf numFmtId="0" fontId="13" fillId="0" borderId="1" xfId="0" applyNumberFormat="1" applyFont="1" applyFill="1" applyBorder="1" applyAlignment="1">
      <alignment vertical="center"/>
    </xf>
    <xf numFmtId="0" fontId="13" fillId="4" borderId="1" xfId="0" applyNumberFormat="1" applyFont="1" applyFill="1" applyBorder="1" applyAlignment="1">
      <alignment vertical="center"/>
    </xf>
    <xf numFmtId="0" fontId="5" fillId="7" borderId="2" xfId="0" applyNumberFormat="1" applyFont="1" applyFill="1" applyBorder="1" applyAlignment="1">
      <alignment horizontal="center" vertical="center" wrapText="1"/>
    </xf>
    <xf numFmtId="0" fontId="5" fillId="7" borderId="3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wrapText="1"/>
    </xf>
    <xf numFmtId="0" fontId="11" fillId="3" borderId="7" xfId="0" applyFont="1" applyFill="1" applyBorder="1" applyAlignment="1"/>
    <xf numFmtId="0" fontId="11" fillId="4" borderId="7" xfId="0" applyFont="1" applyFill="1" applyBorder="1" applyAlignment="1"/>
    <xf numFmtId="0" fontId="11" fillId="0" borderId="7" xfId="0" applyFont="1" applyFill="1" applyBorder="1" applyAlignment="1"/>
    <xf numFmtId="0" fontId="12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right" wrapText="1"/>
    </xf>
    <xf numFmtId="0" fontId="11" fillId="0" borderId="7" xfId="0" applyFont="1" applyFill="1" applyBorder="1" applyAlignment="1">
      <alignment horizontal="right"/>
    </xf>
    <xf numFmtId="0" fontId="11" fillId="4" borderId="7" xfId="0" applyFont="1" applyFill="1" applyBorder="1" applyAlignment="1">
      <alignment horizontal="right"/>
    </xf>
    <xf numFmtId="0" fontId="2" fillId="7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6" fillId="3" borderId="7" xfId="0" applyFont="1" applyFill="1" applyBorder="1" applyAlignment="1">
      <alignment horizontal="right" wrapText="1"/>
    </xf>
    <xf numFmtId="0" fontId="17" fillId="0" borderId="2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right"/>
    </xf>
    <xf numFmtId="0" fontId="11" fillId="4" borderId="2" xfId="0" applyFont="1" applyFill="1" applyBorder="1" applyAlignment="1">
      <alignment horizontal="right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right" vertical="center" wrapText="1"/>
      <protection locked="0"/>
    </xf>
    <xf numFmtId="0" fontId="17" fillId="4" borderId="2" xfId="0" applyFont="1" applyFill="1" applyBorder="1" applyAlignment="1">
      <alignment vertical="center"/>
    </xf>
    <xf numFmtId="0" fontId="5" fillId="8" borderId="4" xfId="0" applyNumberFormat="1" applyFont="1" applyFill="1" applyBorder="1" applyAlignment="1">
      <alignment horizontal="center" vertical="center" wrapText="1"/>
    </xf>
    <xf numFmtId="0" fontId="5" fillId="8" borderId="5" xfId="0" applyNumberFormat="1" applyFont="1" applyFill="1" applyBorder="1" applyAlignment="1">
      <alignment horizontal="center" vertical="center" wrapText="1"/>
    </xf>
    <xf numFmtId="0" fontId="5" fillId="8" borderId="8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/>
    </xf>
    <xf numFmtId="0" fontId="2" fillId="3" borderId="2" xfId="0" applyFont="1" applyFill="1" applyBorder="1" applyAlignment="1" applyProtection="1">
      <alignment vertical="center"/>
    </xf>
    <xf numFmtId="0" fontId="7" fillId="0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0" borderId="2" xfId="0" applyNumberFormat="1" applyFont="1" applyFill="1" applyBorder="1" applyAlignment="1">
      <alignment wrapText="1"/>
    </xf>
    <xf numFmtId="0" fontId="19" fillId="0" borderId="0" xfId="0" applyFont="1" applyFill="1" applyAlignment="1"/>
    <xf numFmtId="0" fontId="12" fillId="0" borderId="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0" fontId="20" fillId="0" borderId="2" xfId="52" applyNumberFormat="1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/>
    </xf>
    <xf numFmtId="0" fontId="2" fillId="9" borderId="2" xfId="0" applyFont="1" applyFill="1" applyBorder="1" applyAlignment="1" applyProtection="1">
      <alignment vertical="center"/>
    </xf>
    <xf numFmtId="0" fontId="3" fillId="0" borderId="0" xfId="0" applyNumberFormat="1" applyFont="1" applyFill="1" applyAlignment="1">
      <alignment vertical="center"/>
    </xf>
    <xf numFmtId="0" fontId="2" fillId="3" borderId="7" xfId="0" applyFont="1" applyFill="1" applyBorder="1" applyAlignment="1" applyProtection="1">
      <alignment vertical="center"/>
    </xf>
    <xf numFmtId="0" fontId="16" fillId="3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3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3" borderId="0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>
      <alignment vertical="center"/>
    </xf>
    <xf numFmtId="0" fontId="0" fillId="1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22" fillId="0" borderId="0" xfId="0" applyFont="1" applyFill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" fillId="0" borderId="7" xfId="52" applyNumberFormat="1" applyFont="1" applyFill="1" applyBorder="1" applyAlignment="1">
      <alignment horizontal="center" vertical="center"/>
    </xf>
    <xf numFmtId="0" fontId="10" fillId="0" borderId="7" xfId="52" applyNumberFormat="1" applyFont="1" applyFill="1" applyBorder="1" applyAlignment="1">
      <alignment vertical="center"/>
    </xf>
    <xf numFmtId="0" fontId="1" fillId="0" borderId="7" xfId="52" applyNumberFormat="1" applyFont="1" applyFill="1" applyBorder="1" applyAlignment="1">
      <alignment vertical="center"/>
    </xf>
    <xf numFmtId="0" fontId="1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vertical="center"/>
    </xf>
    <xf numFmtId="0" fontId="11" fillId="0" borderId="2" xfId="52" applyNumberFormat="1" applyFont="1" applyFill="1" applyBorder="1" applyAlignment="1">
      <alignment vertical="center"/>
    </xf>
    <xf numFmtId="0" fontId="12" fillId="0" borderId="2" xfId="52" applyNumberFormat="1" applyFont="1" applyFill="1" applyBorder="1" applyAlignment="1">
      <alignment horizontal="center" vertical="center" wrapText="1"/>
    </xf>
    <xf numFmtId="0" fontId="16" fillId="0" borderId="2" xfId="52" applyFont="1" applyFill="1" applyBorder="1" applyAlignment="1">
      <alignment vertical="center"/>
    </xf>
    <xf numFmtId="0" fontId="16" fillId="0" borderId="2" xfId="52" applyNumberFormat="1" applyFont="1" applyFill="1" applyBorder="1" applyAlignment="1">
      <alignment vertical="center" wrapText="1"/>
    </xf>
    <xf numFmtId="0" fontId="11" fillId="0" borderId="7" xfId="52" applyFont="1" applyFill="1" applyBorder="1" applyAlignment="1">
      <alignment horizontal="center" vertical="center"/>
    </xf>
    <xf numFmtId="0" fontId="11" fillId="0" borderId="2" xfId="52" applyFont="1" applyFill="1" applyBorder="1" applyAlignment="1">
      <alignment vertical="center"/>
    </xf>
    <xf numFmtId="0" fontId="11" fillId="0" borderId="7" xfId="52" applyFont="1" applyFill="1" applyBorder="1" applyAlignment="1">
      <alignment vertical="center"/>
    </xf>
    <xf numFmtId="0" fontId="16" fillId="0" borderId="2" xfId="52" applyFont="1" applyFill="1" applyBorder="1" applyAlignment="1">
      <alignment horizontal="center" vertical="center"/>
    </xf>
    <xf numFmtId="0" fontId="2" fillId="0" borderId="7" xfId="52" applyNumberFormat="1" applyFont="1" applyFill="1" applyBorder="1" applyAlignment="1">
      <alignment vertical="center"/>
    </xf>
    <xf numFmtId="0" fontId="11" fillId="0" borderId="2" xfId="52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10" fillId="0" borderId="7" xfId="52" applyNumberFormat="1" applyFont="1" applyFill="1" applyBorder="1" applyAlignment="1">
      <alignment horizontal="right" vertical="center"/>
    </xf>
    <xf numFmtId="0" fontId="10" fillId="0" borderId="2" xfId="52" applyNumberFormat="1" applyFont="1" applyFill="1" applyBorder="1" applyAlignment="1">
      <alignment horizontal="right" vertical="center" wrapText="1"/>
    </xf>
    <xf numFmtId="0" fontId="10" fillId="0" borderId="2" xfId="52" applyNumberFormat="1" applyFont="1" applyFill="1" applyBorder="1" applyAlignment="1">
      <alignment horizontal="right" vertical="center"/>
    </xf>
    <xf numFmtId="0" fontId="12" fillId="0" borderId="2" xfId="52" applyNumberFormat="1" applyFont="1" applyFill="1" applyBorder="1" applyAlignment="1">
      <alignment horizontal="right" vertical="center" wrapText="1"/>
    </xf>
    <xf numFmtId="0" fontId="12" fillId="0" borderId="2" xfId="52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left" vertical="center" wrapText="1"/>
    </xf>
    <xf numFmtId="0" fontId="12" fillId="0" borderId="2" xfId="52" applyNumberFormat="1" applyFont="1" applyFill="1" applyBorder="1" applyAlignment="1">
      <alignment vertical="center"/>
    </xf>
    <xf numFmtId="0" fontId="12" fillId="0" borderId="7" xfId="52" applyNumberFormat="1" applyFont="1" applyFill="1" applyBorder="1" applyAlignment="1">
      <alignment vertical="center"/>
    </xf>
    <xf numFmtId="0" fontId="12" fillId="0" borderId="7" xfId="52" applyNumberFormat="1" applyFont="1" applyFill="1" applyBorder="1" applyAlignment="1">
      <alignment horizontal="right" vertical="center"/>
    </xf>
    <xf numFmtId="0" fontId="3" fillId="0" borderId="2" xfId="52" applyFont="1" applyFill="1" applyBorder="1" applyAlignment="1">
      <alignment horizontal="right" vertical="center"/>
    </xf>
    <xf numFmtId="0" fontId="12" fillId="0" borderId="2" xfId="52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Font="1">
      <alignment vertical="center"/>
    </xf>
    <xf numFmtId="0" fontId="0" fillId="10" borderId="0" xfId="0" applyFont="1" applyFill="1">
      <alignment vertical="center"/>
    </xf>
    <xf numFmtId="0" fontId="17" fillId="0" borderId="0" xfId="0" applyFont="1">
      <alignment vertical="center"/>
    </xf>
    <xf numFmtId="0" fontId="26" fillId="6" borderId="2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8" fillId="6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76" fontId="29" fillId="6" borderId="7" xfId="52" applyNumberFormat="1" applyFont="1" applyFill="1" applyBorder="1" applyAlignment="1">
      <alignment vertical="center" wrapText="1"/>
    </xf>
    <xf numFmtId="176" fontId="29" fillId="0" borderId="7" xfId="52" applyNumberFormat="1" applyFont="1" applyFill="1" applyBorder="1" applyAlignment="1">
      <alignment horizontal="right" vertical="center" wrapText="1"/>
    </xf>
    <xf numFmtId="176" fontId="29" fillId="6" borderId="2" xfId="52" applyNumberFormat="1" applyFont="1" applyFill="1" applyBorder="1" applyAlignment="1">
      <alignment vertical="center" wrapText="1"/>
    </xf>
    <xf numFmtId="176" fontId="29" fillId="0" borderId="2" xfId="52" applyNumberFormat="1" applyFont="1" applyFill="1" applyBorder="1" applyAlignment="1">
      <alignment horizontal="right" vertical="center" wrapText="1"/>
    </xf>
    <xf numFmtId="176" fontId="30" fillId="0" borderId="2" xfId="52" applyNumberFormat="1" applyFont="1" applyFill="1" applyBorder="1" applyAlignment="1">
      <alignment horizontal="right" vertical="center" wrapText="1"/>
    </xf>
    <xf numFmtId="0" fontId="31" fillId="0" borderId="2" xfId="52" applyNumberFormat="1" applyFont="1" applyFill="1" applyBorder="1" applyAlignment="1">
      <alignment horizontal="center" vertical="center" wrapText="1"/>
    </xf>
    <xf numFmtId="176" fontId="29" fillId="6" borderId="2" xfId="52" applyNumberFormat="1" applyFont="1" applyFill="1" applyBorder="1" applyAlignment="1">
      <alignment horizontal="right" vertical="center" wrapText="1"/>
    </xf>
    <xf numFmtId="0" fontId="20" fillId="0" borderId="2" xfId="52" applyNumberFormat="1" applyFont="1" applyFill="1" applyBorder="1" applyAlignment="1">
      <alignment horizontal="center" vertical="center" wrapText="1"/>
    </xf>
    <xf numFmtId="176" fontId="30" fillId="6" borderId="2" xfId="52" applyNumberFormat="1" applyFont="1" applyFill="1" applyBorder="1" applyAlignment="1">
      <alignment horizontal="right" vertical="center" wrapText="1"/>
    </xf>
    <xf numFmtId="176" fontId="30" fillId="0" borderId="7" xfId="52" applyNumberFormat="1" applyFont="1" applyBorder="1" applyAlignment="1">
      <alignment horizontal="right" vertical="center" wrapText="1"/>
    </xf>
    <xf numFmtId="0" fontId="32" fillId="0" borderId="2" xfId="52" applyNumberFormat="1" applyFont="1" applyFill="1" applyBorder="1" applyAlignment="1">
      <alignment horizontal="center" vertical="center"/>
    </xf>
    <xf numFmtId="0" fontId="32" fillId="0" borderId="7" xfId="52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/>
    </xf>
    <xf numFmtId="0" fontId="32" fillId="0" borderId="2" xfId="5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29" fillId="0" borderId="2" xfId="52" applyNumberFormat="1" applyFont="1" applyFill="1" applyBorder="1" applyAlignment="1">
      <alignment vertical="center" wrapText="1"/>
    </xf>
    <xf numFmtId="0" fontId="12" fillId="0" borderId="2" xfId="52" applyFont="1" applyFill="1" applyBorder="1" applyAlignment="1">
      <alignment horizontal="center" vertical="center"/>
    </xf>
    <xf numFmtId="0" fontId="12" fillId="6" borderId="2" xfId="52" applyNumberFormat="1" applyFont="1" applyFill="1" applyBorder="1" applyAlignment="1">
      <alignment horizontal="right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7" xfId="53"/>
    <cellStyle name="常规 22" xfId="54"/>
    <cellStyle name="常规 13" xfId="55"/>
    <cellStyle name="常规 7" xfId="56"/>
    <cellStyle name="常规 20" xfId="57"/>
    <cellStyle name="常规 15" xfId="58"/>
    <cellStyle name="常规 11" xfId="59"/>
    <cellStyle name="常规 19" xfId="60"/>
    <cellStyle name="常规 14" xfId="6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10"/>
  <sheetViews>
    <sheetView showZeros="0" tabSelected="1" workbookViewId="0">
      <pane xSplit="1" ySplit="6" topLeftCell="B7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13.5"/>
  <cols>
    <col min="1" max="1" width="14" style="168" customWidth="1"/>
    <col min="2" max="2" width="15.25" customWidth="1"/>
    <col min="3" max="3" width="15.25" style="169" customWidth="1"/>
    <col min="4" max="9" width="15.25" customWidth="1"/>
  </cols>
  <sheetData>
    <row r="1" spans="1:9">
      <c r="A1" s="170" t="s">
        <v>0</v>
      </c>
      <c r="B1" s="171"/>
      <c r="C1" s="172"/>
      <c r="D1" s="171"/>
      <c r="E1" s="171"/>
      <c r="F1" s="171"/>
      <c r="G1" s="171"/>
      <c r="H1" s="171"/>
      <c r="I1" s="171"/>
    </row>
    <row r="2" ht="22.5" customHeight="1" spans="1:9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pans="1:9">
      <c r="A3" s="170"/>
      <c r="B3" s="194"/>
      <c r="C3" s="172"/>
      <c r="D3" s="171"/>
      <c r="E3" s="171"/>
      <c r="F3" s="171"/>
      <c r="G3" s="171"/>
      <c r="H3" s="171"/>
      <c r="I3" s="172" t="s">
        <v>2</v>
      </c>
    </row>
    <row r="4" ht="30" customHeight="1" spans="1:9">
      <c r="A4" s="174" t="s">
        <v>3</v>
      </c>
      <c r="B4" s="218" t="s">
        <v>4</v>
      </c>
      <c r="C4" s="219" t="s">
        <v>5</v>
      </c>
      <c r="D4" s="220" t="s">
        <v>6</v>
      </c>
      <c r="E4" s="220" t="s">
        <v>7</v>
      </c>
      <c r="F4" s="220" t="s">
        <v>8</v>
      </c>
      <c r="G4" s="220" t="s">
        <v>9</v>
      </c>
      <c r="H4" s="220" t="s">
        <v>10</v>
      </c>
      <c r="I4" s="220" t="s">
        <v>11</v>
      </c>
    </row>
    <row r="5" ht="24" hidden="1" customHeight="1" spans="1:9">
      <c r="A5" s="174"/>
      <c r="B5" s="221" t="s">
        <v>12</v>
      </c>
      <c r="C5" s="222" t="s">
        <v>12</v>
      </c>
      <c r="D5" s="222" t="s">
        <v>12</v>
      </c>
      <c r="E5" s="222" t="s">
        <v>12</v>
      </c>
      <c r="F5" s="222" t="s">
        <v>12</v>
      </c>
      <c r="G5" s="222" t="s">
        <v>12</v>
      </c>
      <c r="H5" s="222" t="s">
        <v>12</v>
      </c>
      <c r="I5" s="222" t="s">
        <v>12</v>
      </c>
    </row>
    <row r="6" ht="21" customHeight="1" spans="1:9">
      <c r="A6" s="179" t="s">
        <v>13</v>
      </c>
      <c r="B6" s="223">
        <f>B7+B17</f>
        <v>76833.59</v>
      </c>
      <c r="C6" s="224">
        <f>C7+C17</f>
        <v>43459</v>
      </c>
      <c r="D6" s="224">
        <f>D7+D17</f>
        <v>1192.09</v>
      </c>
      <c r="E6" s="224">
        <f>E7+E17</f>
        <v>1755</v>
      </c>
      <c r="F6" s="224">
        <f>F7+F17</f>
        <v>60.5</v>
      </c>
      <c r="G6" s="224">
        <f>G7+G17</f>
        <v>16000</v>
      </c>
      <c r="H6" s="224">
        <f>H7+H17</f>
        <v>13521</v>
      </c>
      <c r="I6" s="226">
        <f>I7+I17</f>
        <v>846</v>
      </c>
    </row>
    <row r="7" ht="23.1" customHeight="1" spans="1:9">
      <c r="A7" s="182" t="s">
        <v>14</v>
      </c>
      <c r="B7" s="225">
        <f>SUM(B8:B16)</f>
        <v>677.09</v>
      </c>
      <c r="C7" s="226">
        <f>SUM(C9:C16)</f>
        <v>642</v>
      </c>
      <c r="D7" s="226">
        <f>SUM(D9:D16)</f>
        <v>35.09</v>
      </c>
      <c r="E7" s="227"/>
      <c r="F7" s="227"/>
      <c r="G7" s="227"/>
      <c r="H7" s="227"/>
      <c r="I7" s="227"/>
    </row>
    <row r="8" s="213" customFormat="1" ht="17" hidden="1" customHeight="1" spans="1:9">
      <c r="A8" s="228" t="s">
        <v>15</v>
      </c>
      <c r="B8" s="229"/>
      <c r="C8" s="224"/>
      <c r="D8" s="226"/>
      <c r="E8" s="227"/>
      <c r="F8" s="227"/>
      <c r="G8" s="227"/>
      <c r="H8" s="227"/>
      <c r="I8" s="227"/>
    </row>
    <row r="9" s="213" customFormat="1" ht="17" customHeight="1" spans="1:9">
      <c r="A9" s="230" t="s">
        <v>16</v>
      </c>
      <c r="B9" s="231">
        <f t="shared" ref="B9:B17" si="0">C9+D9+E9+F9+G9+H9+I9</f>
        <v>8.03</v>
      </c>
      <c r="C9" s="232">
        <v>8</v>
      </c>
      <c r="D9" s="227">
        <v>0.03</v>
      </c>
      <c r="E9" s="227"/>
      <c r="F9" s="227"/>
      <c r="G9" s="227"/>
      <c r="H9" s="227"/>
      <c r="I9" s="227"/>
    </row>
    <row r="10" s="213" customFormat="1" ht="17" customHeight="1" spans="1:9">
      <c r="A10" s="230" t="s">
        <v>17</v>
      </c>
      <c r="B10" s="231">
        <f t="shared" si="0"/>
        <v>46.03</v>
      </c>
      <c r="C10" s="232">
        <v>46</v>
      </c>
      <c r="D10" s="227">
        <v>0.03</v>
      </c>
      <c r="E10" s="227"/>
      <c r="F10" s="227"/>
      <c r="G10" s="227"/>
      <c r="H10" s="227"/>
      <c r="I10" s="227"/>
    </row>
    <row r="11" s="213" customFormat="1" ht="17" customHeight="1" spans="1:9">
      <c r="A11" s="230" t="s">
        <v>18</v>
      </c>
      <c r="B11" s="231">
        <f t="shared" si="0"/>
        <v>143</v>
      </c>
      <c r="C11" s="232">
        <v>143</v>
      </c>
      <c r="D11" s="227">
        <v>0</v>
      </c>
      <c r="E11" s="227"/>
      <c r="F11" s="227"/>
      <c r="G11" s="227"/>
      <c r="H11" s="227"/>
      <c r="I11" s="227"/>
    </row>
    <row r="12" s="213" customFormat="1" ht="17" customHeight="1" spans="1:9">
      <c r="A12" s="228" t="s">
        <v>19</v>
      </c>
      <c r="B12" s="231">
        <f t="shared" si="0"/>
        <v>216.03</v>
      </c>
      <c r="C12" s="232">
        <v>216</v>
      </c>
      <c r="D12" s="227">
        <v>0.03</v>
      </c>
      <c r="E12" s="227"/>
      <c r="F12" s="227"/>
      <c r="G12" s="227"/>
      <c r="H12" s="227"/>
      <c r="I12" s="227"/>
    </row>
    <row r="13" s="213" customFormat="1" ht="17" customHeight="1" spans="1:9">
      <c r="A13" s="228" t="s">
        <v>20</v>
      </c>
      <c r="B13" s="231">
        <f t="shared" si="0"/>
        <v>117</v>
      </c>
      <c r="C13" s="232">
        <v>117</v>
      </c>
      <c r="D13" s="227">
        <v>0</v>
      </c>
      <c r="E13" s="227"/>
      <c r="F13" s="227"/>
      <c r="G13" s="227"/>
      <c r="H13" s="227"/>
      <c r="I13" s="227"/>
    </row>
    <row r="14" s="213" customFormat="1" ht="17" customHeight="1" spans="1:9">
      <c r="A14" s="230" t="s">
        <v>21</v>
      </c>
      <c r="B14" s="231">
        <f t="shared" si="0"/>
        <v>13</v>
      </c>
      <c r="C14" s="232">
        <v>13</v>
      </c>
      <c r="D14" s="227">
        <v>0</v>
      </c>
      <c r="E14" s="227"/>
      <c r="F14" s="227"/>
      <c r="G14" s="227"/>
      <c r="H14" s="227"/>
      <c r="I14" s="227"/>
    </row>
    <row r="15" s="213" customFormat="1" ht="17" customHeight="1" spans="1:9">
      <c r="A15" s="230" t="s">
        <v>22</v>
      </c>
      <c r="B15" s="231">
        <f t="shared" si="0"/>
        <v>77</v>
      </c>
      <c r="C15" s="232">
        <v>77</v>
      </c>
      <c r="D15" s="227">
        <v>0</v>
      </c>
      <c r="E15" s="227"/>
      <c r="F15" s="227"/>
      <c r="G15" s="227"/>
      <c r="H15" s="227"/>
      <c r="I15" s="227"/>
    </row>
    <row r="16" s="213" customFormat="1" ht="17" customHeight="1" spans="1:9">
      <c r="A16" s="230" t="s">
        <v>23</v>
      </c>
      <c r="B16" s="231">
        <f t="shared" si="0"/>
        <v>57</v>
      </c>
      <c r="C16" s="232">
        <v>22</v>
      </c>
      <c r="D16" s="227">
        <v>35</v>
      </c>
      <c r="E16" s="227"/>
      <c r="F16" s="227"/>
      <c r="G16" s="227"/>
      <c r="H16" s="227"/>
      <c r="I16" s="227"/>
    </row>
    <row r="17" s="214" customFormat="1" customHeight="1" spans="1:9">
      <c r="A17" s="233" t="s">
        <v>24</v>
      </c>
      <c r="B17" s="229">
        <f>SUM(B18,B33:B37,B45:B50,B54:B57,B62:B64,B68:B73,B77:B81,B86:B90,B93:B97,B107)</f>
        <v>76156.5</v>
      </c>
      <c r="C17" s="226">
        <f>SUM(C18,C33:C37,C45:C50,C54:C57,C62:C64,C68:C73,C77:C81,C86:C90,C93:C97,C107)</f>
        <v>42817</v>
      </c>
      <c r="D17" s="226">
        <f>SUM(D18,D33:D37,D45:D50,D54:D57,D62:D64,D68:D73,D77:D81,D86:D90,D93:D97,D107)</f>
        <v>1157</v>
      </c>
      <c r="E17" s="226">
        <v>1755</v>
      </c>
      <c r="F17" s="226">
        <f>SUM(F18,F33:F37,F45:F50,F54:F57,F62:F64,F68:F73,F77:F81,F86:F90,F93:F97,F107)</f>
        <v>60.5</v>
      </c>
      <c r="G17" s="226">
        <f>SUM(G18,G33:G37,G45:G50,G54:G57,G62:G64,G68:G73,G77:G81,G86:G90,G93:G97,G107)</f>
        <v>16000</v>
      </c>
      <c r="H17" s="226">
        <f>SUM(H18,H33:H37,H45:H50,H54:H57,H62:H64,H68:H73,H77:H81,H86:H90,H93:H97,H107)</f>
        <v>13521</v>
      </c>
      <c r="I17" s="226">
        <f>SUM(I18,I33:I37,I45:I50,I54:I57,I62:I64,I68:I73,I77:I81,I86:I90,I93:I97,I107)</f>
        <v>846</v>
      </c>
    </row>
    <row r="18" s="215" customFormat="1" customHeight="1" spans="1:9">
      <c r="A18" s="234" t="s">
        <v>25</v>
      </c>
      <c r="B18" s="229">
        <f t="shared" ref="B18:B30" si="1">C18+D18+E18+F18+G18+H18+I18</f>
        <v>12234.8</v>
      </c>
      <c r="C18" s="227">
        <v>8194</v>
      </c>
      <c r="D18" s="227">
        <v>71</v>
      </c>
      <c r="E18" s="227">
        <v>281</v>
      </c>
      <c r="F18" s="227">
        <v>4.8</v>
      </c>
      <c r="G18" s="227">
        <v>2281</v>
      </c>
      <c r="H18" s="227">
        <v>1403</v>
      </c>
      <c r="I18" s="227"/>
    </row>
    <row r="19" s="215" customFormat="1" customHeight="1" spans="1:9">
      <c r="A19" s="235" t="s">
        <v>26</v>
      </c>
      <c r="B19" s="231">
        <f t="shared" si="1"/>
        <v>458.7</v>
      </c>
      <c r="C19" s="227">
        <v>425</v>
      </c>
      <c r="D19" s="227">
        <v>2</v>
      </c>
      <c r="E19" s="227">
        <v>18</v>
      </c>
      <c r="F19" s="227">
        <v>0.7</v>
      </c>
      <c r="G19" s="227">
        <v>13</v>
      </c>
      <c r="H19" s="227">
        <v>0</v>
      </c>
      <c r="I19" s="227"/>
    </row>
    <row r="20" s="215" customFormat="1" customHeight="1" spans="1:9">
      <c r="A20" s="235" t="s">
        <v>27</v>
      </c>
      <c r="B20" s="231">
        <f t="shared" si="1"/>
        <v>626.2</v>
      </c>
      <c r="C20" s="227">
        <v>594</v>
      </c>
      <c r="D20" s="227">
        <v>1</v>
      </c>
      <c r="E20" s="227">
        <v>24</v>
      </c>
      <c r="F20" s="227">
        <v>0.2</v>
      </c>
      <c r="G20" s="227">
        <v>7</v>
      </c>
      <c r="H20" s="227">
        <v>0</v>
      </c>
      <c r="I20" s="227"/>
    </row>
    <row r="21" s="215" customFormat="1" customHeight="1" spans="1:9">
      <c r="A21" s="235" t="s">
        <v>28</v>
      </c>
      <c r="B21" s="231">
        <f t="shared" si="1"/>
        <v>999.7</v>
      </c>
      <c r="C21" s="227">
        <v>877</v>
      </c>
      <c r="D21" s="227">
        <v>3</v>
      </c>
      <c r="E21" s="227">
        <v>60</v>
      </c>
      <c r="F21" s="227">
        <v>0.7</v>
      </c>
      <c r="G21" s="227">
        <v>59</v>
      </c>
      <c r="H21" s="227">
        <v>0</v>
      </c>
      <c r="I21" s="227"/>
    </row>
    <row r="22" s="215" customFormat="1" customHeight="1" spans="1:9">
      <c r="A22" s="235" t="s">
        <v>29</v>
      </c>
      <c r="B22" s="231">
        <f t="shared" si="1"/>
        <v>806.2</v>
      </c>
      <c r="C22" s="227">
        <v>732</v>
      </c>
      <c r="D22" s="227">
        <v>8</v>
      </c>
      <c r="E22" s="227">
        <v>15</v>
      </c>
      <c r="F22" s="227">
        <v>0.2</v>
      </c>
      <c r="G22" s="227">
        <v>51</v>
      </c>
      <c r="H22" s="227">
        <v>0</v>
      </c>
      <c r="I22" s="227"/>
    </row>
    <row r="23" s="215" customFormat="1" customHeight="1" spans="1:9">
      <c r="A23" s="235" t="s">
        <v>30</v>
      </c>
      <c r="B23" s="231">
        <f t="shared" si="1"/>
        <v>921.2</v>
      </c>
      <c r="C23" s="227">
        <v>905</v>
      </c>
      <c r="D23" s="227">
        <v>2</v>
      </c>
      <c r="E23" s="227">
        <v>13</v>
      </c>
      <c r="F23" s="227">
        <v>0.2</v>
      </c>
      <c r="G23" s="227">
        <v>1</v>
      </c>
      <c r="H23" s="227">
        <v>0</v>
      </c>
      <c r="I23" s="227"/>
    </row>
    <row r="24" s="215" customFormat="1" customHeight="1" spans="1:9">
      <c r="A24" s="235" t="s">
        <v>31</v>
      </c>
      <c r="B24" s="231">
        <f t="shared" si="1"/>
        <v>898</v>
      </c>
      <c r="C24" s="227">
        <v>783</v>
      </c>
      <c r="D24" s="227">
        <v>4</v>
      </c>
      <c r="E24" s="227">
        <v>23</v>
      </c>
      <c r="F24" s="227">
        <v>0</v>
      </c>
      <c r="G24" s="227">
        <v>88</v>
      </c>
      <c r="H24" s="227">
        <v>0</v>
      </c>
      <c r="I24" s="227"/>
    </row>
    <row r="25" s="215" customFormat="1" customHeight="1" spans="1:9">
      <c r="A25" s="235" t="s">
        <v>32</v>
      </c>
      <c r="B25" s="231">
        <f t="shared" si="1"/>
        <v>1127</v>
      </c>
      <c r="C25" s="227">
        <v>710</v>
      </c>
      <c r="D25" s="227">
        <v>2</v>
      </c>
      <c r="E25" s="227">
        <v>9</v>
      </c>
      <c r="F25" s="227">
        <v>0</v>
      </c>
      <c r="G25" s="227">
        <v>406</v>
      </c>
      <c r="H25" s="227">
        <v>0</v>
      </c>
      <c r="I25" s="227"/>
    </row>
    <row r="26" s="215" customFormat="1" customHeight="1" spans="1:9">
      <c r="A26" s="235" t="s">
        <v>33</v>
      </c>
      <c r="B26" s="231">
        <f t="shared" si="1"/>
        <v>617</v>
      </c>
      <c r="C26" s="227">
        <v>392</v>
      </c>
      <c r="D26" s="227">
        <v>2</v>
      </c>
      <c r="E26" s="227">
        <v>7</v>
      </c>
      <c r="F26" s="227">
        <v>0</v>
      </c>
      <c r="G26" s="227">
        <v>216</v>
      </c>
      <c r="H26" s="227">
        <v>0</v>
      </c>
      <c r="I26" s="227"/>
    </row>
    <row r="27" s="215" customFormat="1" customHeight="1" spans="1:9">
      <c r="A27" s="235" t="s">
        <v>34</v>
      </c>
      <c r="B27" s="231">
        <f t="shared" si="1"/>
        <v>641</v>
      </c>
      <c r="C27" s="227">
        <v>444</v>
      </c>
      <c r="D27" s="227">
        <v>3</v>
      </c>
      <c r="E27" s="227">
        <v>3</v>
      </c>
      <c r="F27" s="227">
        <v>0</v>
      </c>
      <c r="G27" s="227">
        <v>191</v>
      </c>
      <c r="H27" s="227">
        <v>0</v>
      </c>
      <c r="I27" s="227"/>
    </row>
    <row r="28" s="215" customFormat="1" customHeight="1" spans="1:9">
      <c r="A28" s="235" t="s">
        <v>35</v>
      </c>
      <c r="B28" s="231">
        <f t="shared" si="1"/>
        <v>821</v>
      </c>
      <c r="C28" s="227">
        <v>495</v>
      </c>
      <c r="D28" s="227">
        <v>1</v>
      </c>
      <c r="E28" s="227">
        <v>7</v>
      </c>
      <c r="F28" s="227">
        <v>0</v>
      </c>
      <c r="G28" s="227">
        <v>318</v>
      </c>
      <c r="H28" s="227">
        <v>0</v>
      </c>
      <c r="I28" s="227"/>
    </row>
    <row r="29" s="215" customFormat="1" customHeight="1" spans="1:9">
      <c r="A29" s="235" t="s">
        <v>36</v>
      </c>
      <c r="B29" s="231">
        <f t="shared" si="1"/>
        <v>95</v>
      </c>
      <c r="C29" s="227">
        <v>62</v>
      </c>
      <c r="D29" s="227">
        <v>1</v>
      </c>
      <c r="E29" s="227">
        <v>3</v>
      </c>
      <c r="F29" s="227">
        <v>0</v>
      </c>
      <c r="G29" s="227">
        <v>29</v>
      </c>
      <c r="H29" s="227">
        <v>0</v>
      </c>
      <c r="I29" s="227"/>
    </row>
    <row r="30" s="215" customFormat="1" customHeight="1" spans="1:9">
      <c r="A30" s="235" t="s">
        <v>37</v>
      </c>
      <c r="B30" s="231">
        <f t="shared" si="1"/>
        <v>0</v>
      </c>
      <c r="C30" s="227">
        <v>0</v>
      </c>
      <c r="D30" s="227">
        <v>0</v>
      </c>
      <c r="E30" s="227"/>
      <c r="F30" s="227"/>
      <c r="G30" s="227">
        <v>0</v>
      </c>
      <c r="H30" s="227"/>
      <c r="I30" s="227"/>
    </row>
    <row r="31" s="215" customFormat="1" customHeight="1" spans="1:9">
      <c r="A31" s="235" t="s">
        <v>38</v>
      </c>
      <c r="B31" s="231">
        <f t="shared" ref="B31:B85" si="2">C31+D31+E31+F31+G31+H31+I31</f>
        <v>2819.1</v>
      </c>
      <c r="C31" s="227">
        <v>1133</v>
      </c>
      <c r="D31" s="227">
        <v>19</v>
      </c>
      <c r="E31" s="227">
        <v>64</v>
      </c>
      <c r="F31" s="227">
        <v>2.1</v>
      </c>
      <c r="G31" s="227">
        <v>585</v>
      </c>
      <c r="H31" s="227">
        <v>1016</v>
      </c>
      <c r="I31" s="227"/>
    </row>
    <row r="32" s="215" customFormat="1" customHeight="1" spans="1:9">
      <c r="A32" s="235" t="s">
        <v>39</v>
      </c>
      <c r="B32" s="231">
        <f t="shared" si="2"/>
        <v>1404.7</v>
      </c>
      <c r="C32" s="227">
        <v>642</v>
      </c>
      <c r="D32" s="227">
        <v>23</v>
      </c>
      <c r="E32" s="227">
        <v>35</v>
      </c>
      <c r="F32" s="227">
        <v>0.7</v>
      </c>
      <c r="G32" s="227">
        <v>317</v>
      </c>
      <c r="H32" s="227">
        <v>387</v>
      </c>
      <c r="I32" s="227"/>
    </row>
    <row r="33" s="215" customFormat="1" customHeight="1" spans="1:9">
      <c r="A33" s="235" t="s">
        <v>40</v>
      </c>
      <c r="B33" s="231">
        <f t="shared" si="2"/>
        <v>2930.8</v>
      </c>
      <c r="C33" s="227">
        <v>2039</v>
      </c>
      <c r="D33" s="227">
        <v>53</v>
      </c>
      <c r="E33" s="227">
        <v>69</v>
      </c>
      <c r="F33" s="227">
        <v>2.8</v>
      </c>
      <c r="G33" s="227">
        <v>732</v>
      </c>
      <c r="H33" s="227">
        <v>35</v>
      </c>
      <c r="I33" s="227"/>
    </row>
    <row r="34" s="215" customFormat="1" customHeight="1" spans="1:9">
      <c r="A34" s="235" t="s">
        <v>41</v>
      </c>
      <c r="B34" s="231">
        <f t="shared" si="2"/>
        <v>3847.9</v>
      </c>
      <c r="C34" s="227">
        <v>1966</v>
      </c>
      <c r="D34" s="227">
        <v>95</v>
      </c>
      <c r="E34" s="227">
        <v>80</v>
      </c>
      <c r="F34" s="227">
        <v>1.9</v>
      </c>
      <c r="G34" s="227">
        <v>719</v>
      </c>
      <c r="H34" s="227">
        <v>986</v>
      </c>
      <c r="I34" s="227"/>
    </row>
    <row r="35" s="215" customFormat="1" customHeight="1" spans="1:9">
      <c r="A35" s="235" t="s">
        <v>42</v>
      </c>
      <c r="B35" s="231">
        <f t="shared" si="2"/>
        <v>3478.3</v>
      </c>
      <c r="C35" s="227">
        <v>1609</v>
      </c>
      <c r="D35" s="227">
        <v>89</v>
      </c>
      <c r="E35" s="227">
        <v>46</v>
      </c>
      <c r="F35" s="227">
        <v>2.3</v>
      </c>
      <c r="G35" s="227">
        <v>658</v>
      </c>
      <c r="H35" s="227">
        <v>1074</v>
      </c>
      <c r="I35" s="227"/>
    </row>
    <row r="36" s="215" customFormat="1" customHeight="1" spans="1:9">
      <c r="A36" s="235" t="s">
        <v>43</v>
      </c>
      <c r="B36" s="231">
        <f t="shared" si="2"/>
        <v>4433.5</v>
      </c>
      <c r="C36" s="227">
        <v>2291</v>
      </c>
      <c r="D36" s="227">
        <v>86</v>
      </c>
      <c r="E36" s="227">
        <v>41</v>
      </c>
      <c r="F36" s="227">
        <v>0.5</v>
      </c>
      <c r="G36" s="227">
        <v>707</v>
      </c>
      <c r="H36" s="227">
        <v>1308</v>
      </c>
      <c r="I36" s="227"/>
    </row>
    <row r="37" s="214" customFormat="1" customHeight="1" spans="1:9">
      <c r="A37" s="236" t="s">
        <v>44</v>
      </c>
      <c r="B37" s="229">
        <f t="shared" si="2"/>
        <v>3080.4</v>
      </c>
      <c r="C37" s="226">
        <v>2631</v>
      </c>
      <c r="D37" s="226">
        <v>28</v>
      </c>
      <c r="E37" s="226">
        <v>116</v>
      </c>
      <c r="F37" s="226">
        <v>3.4</v>
      </c>
      <c r="G37" s="226">
        <v>302</v>
      </c>
      <c r="H37" s="226">
        <v>0</v>
      </c>
      <c r="I37" s="226"/>
    </row>
    <row r="38" s="215" customFormat="1" customHeight="1" spans="1:9">
      <c r="A38" s="235" t="s">
        <v>26</v>
      </c>
      <c r="B38" s="231">
        <f t="shared" si="2"/>
        <v>842.6</v>
      </c>
      <c r="C38" s="227">
        <v>791</v>
      </c>
      <c r="D38" s="227">
        <v>8</v>
      </c>
      <c r="E38" s="227">
        <v>34</v>
      </c>
      <c r="F38" s="227">
        <v>1.6</v>
      </c>
      <c r="G38" s="227">
        <v>8</v>
      </c>
      <c r="H38" s="227">
        <v>0</v>
      </c>
      <c r="I38" s="227"/>
    </row>
    <row r="39" s="215" customFormat="1" customHeight="1" spans="1:9">
      <c r="A39" s="235" t="s">
        <v>45</v>
      </c>
      <c r="B39" s="231">
        <f t="shared" si="2"/>
        <v>669.7</v>
      </c>
      <c r="C39" s="227">
        <v>571</v>
      </c>
      <c r="D39" s="227">
        <v>8</v>
      </c>
      <c r="E39" s="227">
        <v>29</v>
      </c>
      <c r="F39" s="227">
        <v>0.7</v>
      </c>
      <c r="G39" s="227">
        <v>61</v>
      </c>
      <c r="H39" s="227">
        <v>0</v>
      </c>
      <c r="I39" s="227"/>
    </row>
    <row r="40" s="215" customFormat="1" customHeight="1" spans="1:9">
      <c r="A40" s="235" t="s">
        <v>46</v>
      </c>
      <c r="B40" s="231">
        <f t="shared" si="2"/>
        <v>365.4</v>
      </c>
      <c r="C40" s="227">
        <v>265</v>
      </c>
      <c r="D40" s="227">
        <v>3</v>
      </c>
      <c r="E40" s="227">
        <v>14</v>
      </c>
      <c r="F40" s="227">
        <v>0.4</v>
      </c>
      <c r="G40" s="227">
        <v>83</v>
      </c>
      <c r="H40" s="227">
        <v>0</v>
      </c>
      <c r="I40" s="227"/>
    </row>
    <row r="41" s="215" customFormat="1" customHeight="1" spans="1:9">
      <c r="A41" s="235" t="s">
        <v>47</v>
      </c>
      <c r="B41" s="231">
        <f t="shared" si="2"/>
        <v>662.2</v>
      </c>
      <c r="C41" s="227">
        <v>590</v>
      </c>
      <c r="D41" s="227">
        <v>5</v>
      </c>
      <c r="E41" s="227">
        <v>21</v>
      </c>
      <c r="F41" s="227">
        <v>0.2</v>
      </c>
      <c r="G41" s="227">
        <v>46</v>
      </c>
      <c r="H41" s="227">
        <v>0</v>
      </c>
      <c r="I41" s="227"/>
    </row>
    <row r="42" s="215" customFormat="1" customHeight="1" spans="1:9">
      <c r="A42" s="235" t="s">
        <v>32</v>
      </c>
      <c r="B42" s="231">
        <f t="shared" si="2"/>
        <v>84</v>
      </c>
      <c r="C42" s="227">
        <v>52</v>
      </c>
      <c r="D42" s="227">
        <v>0</v>
      </c>
      <c r="E42" s="227">
        <v>2</v>
      </c>
      <c r="F42" s="227">
        <v>0</v>
      </c>
      <c r="G42" s="227">
        <v>30</v>
      </c>
      <c r="H42" s="227">
        <v>0</v>
      </c>
      <c r="I42" s="227"/>
    </row>
    <row r="43" s="215" customFormat="1" customHeight="1" spans="1:9">
      <c r="A43" s="235" t="s">
        <v>33</v>
      </c>
      <c r="B43" s="231">
        <f t="shared" si="2"/>
        <v>99</v>
      </c>
      <c r="C43" s="227">
        <v>60</v>
      </c>
      <c r="D43" s="227">
        <v>1</v>
      </c>
      <c r="E43" s="227">
        <v>2</v>
      </c>
      <c r="F43" s="227">
        <v>0</v>
      </c>
      <c r="G43" s="227">
        <v>36</v>
      </c>
      <c r="H43" s="227">
        <v>0</v>
      </c>
      <c r="I43" s="227"/>
    </row>
    <row r="44" s="215" customFormat="1" customHeight="1" spans="1:9">
      <c r="A44" s="235" t="s">
        <v>48</v>
      </c>
      <c r="B44" s="231">
        <f t="shared" si="2"/>
        <v>357.5</v>
      </c>
      <c r="C44" s="227">
        <v>302</v>
      </c>
      <c r="D44" s="227">
        <v>3</v>
      </c>
      <c r="E44" s="227">
        <v>14</v>
      </c>
      <c r="F44" s="227">
        <v>0.5</v>
      </c>
      <c r="G44" s="227">
        <v>38</v>
      </c>
      <c r="H44" s="227">
        <v>0</v>
      </c>
      <c r="I44" s="227"/>
    </row>
    <row r="45" s="215" customFormat="1" customHeight="1" spans="1:9">
      <c r="A45" s="235" t="s">
        <v>49</v>
      </c>
      <c r="B45" s="231">
        <f t="shared" si="2"/>
        <v>874.5</v>
      </c>
      <c r="C45" s="227">
        <v>453</v>
      </c>
      <c r="D45" s="227">
        <v>12</v>
      </c>
      <c r="E45" s="227">
        <v>29</v>
      </c>
      <c r="F45" s="227">
        <v>1.5</v>
      </c>
      <c r="G45" s="227">
        <v>273</v>
      </c>
      <c r="H45" s="227">
        <v>106</v>
      </c>
      <c r="I45" s="227"/>
    </row>
    <row r="46" s="215" customFormat="1" customHeight="1" spans="1:9">
      <c r="A46" s="235" t="s">
        <v>50</v>
      </c>
      <c r="B46" s="231">
        <f t="shared" si="2"/>
        <v>1406.3</v>
      </c>
      <c r="C46" s="227">
        <v>659</v>
      </c>
      <c r="D46" s="227">
        <v>15</v>
      </c>
      <c r="E46" s="227">
        <v>29</v>
      </c>
      <c r="F46" s="227">
        <v>2.3</v>
      </c>
      <c r="G46" s="227">
        <v>326</v>
      </c>
      <c r="H46" s="227">
        <v>375</v>
      </c>
      <c r="I46" s="227"/>
    </row>
    <row r="47" s="215" customFormat="1" customHeight="1" spans="1:9">
      <c r="A47" s="235" t="s">
        <v>51</v>
      </c>
      <c r="B47" s="231">
        <f t="shared" si="2"/>
        <v>1473.7</v>
      </c>
      <c r="C47" s="227">
        <v>826</v>
      </c>
      <c r="D47" s="227">
        <v>45</v>
      </c>
      <c r="E47" s="227">
        <v>36</v>
      </c>
      <c r="F47" s="227">
        <v>2.7</v>
      </c>
      <c r="G47" s="227">
        <v>402</v>
      </c>
      <c r="H47" s="227">
        <v>162</v>
      </c>
      <c r="I47" s="227"/>
    </row>
    <row r="48" s="215" customFormat="1" customHeight="1" spans="1:9">
      <c r="A48" s="235" t="s">
        <v>52</v>
      </c>
      <c r="B48" s="231">
        <f t="shared" si="2"/>
        <v>1458.9</v>
      </c>
      <c r="C48" s="227">
        <v>914</v>
      </c>
      <c r="D48" s="227">
        <v>47</v>
      </c>
      <c r="E48" s="227">
        <v>43</v>
      </c>
      <c r="F48" s="227">
        <v>1.9</v>
      </c>
      <c r="G48" s="227">
        <v>418</v>
      </c>
      <c r="H48" s="227">
        <v>35</v>
      </c>
      <c r="I48" s="227"/>
    </row>
    <row r="49" s="215" customFormat="1" customHeight="1" spans="1:9">
      <c r="A49" s="235" t="s">
        <v>53</v>
      </c>
      <c r="B49" s="231">
        <f t="shared" si="2"/>
        <v>2098</v>
      </c>
      <c r="C49" s="227">
        <v>797</v>
      </c>
      <c r="D49" s="227">
        <v>41</v>
      </c>
      <c r="E49" s="227">
        <v>37</v>
      </c>
      <c r="F49" s="227">
        <v>4</v>
      </c>
      <c r="G49" s="227">
        <v>384</v>
      </c>
      <c r="H49" s="227">
        <v>835</v>
      </c>
      <c r="I49" s="227"/>
    </row>
    <row r="50" s="214" customFormat="1" customHeight="1" spans="1:9">
      <c r="A50" s="236" t="s">
        <v>54</v>
      </c>
      <c r="B50" s="229">
        <f t="shared" si="2"/>
        <v>1203.5</v>
      </c>
      <c r="C50" s="226">
        <v>997</v>
      </c>
      <c r="D50" s="226">
        <v>9</v>
      </c>
      <c r="E50" s="226">
        <v>67</v>
      </c>
      <c r="F50" s="226">
        <v>5.5</v>
      </c>
      <c r="G50" s="226">
        <v>36</v>
      </c>
      <c r="H50" s="226">
        <v>89</v>
      </c>
      <c r="I50" s="226"/>
    </row>
    <row r="51" s="215" customFormat="1" customHeight="1" spans="1:9">
      <c r="A51" s="235" t="s">
        <v>26</v>
      </c>
      <c r="B51" s="231">
        <f t="shared" si="2"/>
        <v>36.3</v>
      </c>
      <c r="C51" s="227">
        <v>0</v>
      </c>
      <c r="D51" s="227">
        <v>0</v>
      </c>
      <c r="E51" s="227">
        <v>32</v>
      </c>
      <c r="F51" s="227">
        <v>4.3</v>
      </c>
      <c r="G51" s="227">
        <v>0</v>
      </c>
      <c r="H51" s="227">
        <v>0</v>
      </c>
      <c r="I51" s="227"/>
    </row>
    <row r="52" s="215" customFormat="1" customHeight="1" spans="1:9">
      <c r="A52" s="235" t="s">
        <v>55</v>
      </c>
      <c r="B52" s="231">
        <f t="shared" si="2"/>
        <v>503.4</v>
      </c>
      <c r="C52" s="227">
        <v>481</v>
      </c>
      <c r="D52" s="227">
        <v>1</v>
      </c>
      <c r="E52" s="227">
        <v>20</v>
      </c>
      <c r="F52" s="227">
        <v>0.4</v>
      </c>
      <c r="G52" s="227">
        <v>1</v>
      </c>
      <c r="H52" s="227">
        <v>0</v>
      </c>
      <c r="I52" s="227"/>
    </row>
    <row r="53" s="215" customFormat="1" customHeight="1" spans="1:9">
      <c r="A53" s="235" t="s">
        <v>56</v>
      </c>
      <c r="B53" s="231">
        <f t="shared" si="2"/>
        <v>663.8</v>
      </c>
      <c r="C53" s="227">
        <v>516</v>
      </c>
      <c r="D53" s="227">
        <v>8</v>
      </c>
      <c r="E53" s="227">
        <v>15</v>
      </c>
      <c r="F53" s="227">
        <v>0.8</v>
      </c>
      <c r="G53" s="227">
        <v>35</v>
      </c>
      <c r="H53" s="227">
        <v>89</v>
      </c>
      <c r="I53" s="227"/>
    </row>
    <row r="54" s="215" customFormat="1" customHeight="1" spans="1:9">
      <c r="A54" s="235" t="s">
        <v>57</v>
      </c>
      <c r="B54" s="231">
        <f t="shared" si="2"/>
        <v>3046.8</v>
      </c>
      <c r="C54" s="227">
        <v>1377</v>
      </c>
      <c r="D54" s="227">
        <v>40</v>
      </c>
      <c r="E54" s="227">
        <v>48</v>
      </c>
      <c r="F54" s="227">
        <v>1.8</v>
      </c>
      <c r="G54" s="227">
        <v>574</v>
      </c>
      <c r="H54" s="227">
        <v>1006</v>
      </c>
      <c r="I54" s="227"/>
    </row>
    <row r="55" s="216" customFormat="1" customHeight="1" spans="1:9">
      <c r="A55" s="235" t="s">
        <v>58</v>
      </c>
      <c r="B55" s="231">
        <f t="shared" si="2"/>
        <v>1461.7</v>
      </c>
      <c r="C55" s="227">
        <v>1023</v>
      </c>
      <c r="D55" s="227">
        <v>23</v>
      </c>
      <c r="E55" s="227">
        <v>50</v>
      </c>
      <c r="F55" s="227">
        <v>0.7</v>
      </c>
      <c r="G55" s="227">
        <v>365</v>
      </c>
      <c r="H55" s="227">
        <v>0</v>
      </c>
      <c r="I55" s="227"/>
    </row>
    <row r="56" s="215" customFormat="1" customHeight="1" spans="1:9">
      <c r="A56" s="235" t="s">
        <v>59</v>
      </c>
      <c r="B56" s="231">
        <f t="shared" si="2"/>
        <v>1475.6</v>
      </c>
      <c r="C56" s="227">
        <v>805</v>
      </c>
      <c r="D56" s="227">
        <v>34</v>
      </c>
      <c r="E56" s="227">
        <v>29</v>
      </c>
      <c r="F56" s="227">
        <v>2.6</v>
      </c>
      <c r="G56" s="227">
        <v>403</v>
      </c>
      <c r="H56" s="227">
        <v>202</v>
      </c>
      <c r="I56" s="227"/>
    </row>
    <row r="57" s="214" customFormat="1" customHeight="1" spans="1:9">
      <c r="A57" s="236" t="s">
        <v>60</v>
      </c>
      <c r="B57" s="229">
        <f t="shared" si="2"/>
        <v>853.8</v>
      </c>
      <c r="C57" s="226">
        <v>634</v>
      </c>
      <c r="D57" s="226">
        <v>3</v>
      </c>
      <c r="E57" s="226">
        <v>31</v>
      </c>
      <c r="F57" s="226">
        <v>1.8</v>
      </c>
      <c r="G57" s="226">
        <v>69</v>
      </c>
      <c r="H57" s="226">
        <v>115</v>
      </c>
      <c r="I57" s="226"/>
    </row>
    <row r="58" s="215" customFormat="1" customHeight="1" spans="1:9">
      <c r="A58" s="235" t="s">
        <v>26</v>
      </c>
      <c r="B58" s="231">
        <f t="shared" si="2"/>
        <v>250.8</v>
      </c>
      <c r="C58" s="227">
        <v>213</v>
      </c>
      <c r="D58" s="227">
        <v>1</v>
      </c>
      <c r="E58" s="227">
        <v>24</v>
      </c>
      <c r="F58" s="227">
        <v>1.8</v>
      </c>
      <c r="G58" s="227">
        <v>11</v>
      </c>
      <c r="H58" s="227">
        <v>0</v>
      </c>
      <c r="I58" s="227"/>
    </row>
    <row r="59" s="215" customFormat="1" customHeight="1" spans="1:9">
      <c r="A59" s="235" t="s">
        <v>61</v>
      </c>
      <c r="B59" s="231">
        <f t="shared" si="2"/>
        <v>508</v>
      </c>
      <c r="C59" s="227">
        <v>338</v>
      </c>
      <c r="D59" s="227">
        <v>1</v>
      </c>
      <c r="E59" s="227">
        <v>4</v>
      </c>
      <c r="F59" s="227">
        <v>0</v>
      </c>
      <c r="G59" s="227">
        <v>50</v>
      </c>
      <c r="H59" s="227">
        <v>115</v>
      </c>
      <c r="I59" s="227"/>
    </row>
    <row r="60" s="215" customFormat="1" customHeight="1" spans="1:9">
      <c r="A60" s="235" t="s">
        <v>62</v>
      </c>
      <c r="B60" s="231">
        <f t="shared" si="2"/>
        <v>95</v>
      </c>
      <c r="C60" s="227">
        <v>83</v>
      </c>
      <c r="D60" s="227">
        <v>1</v>
      </c>
      <c r="E60" s="227">
        <v>3</v>
      </c>
      <c r="F60" s="227">
        <v>0</v>
      </c>
      <c r="G60" s="227">
        <v>8</v>
      </c>
      <c r="H60" s="227">
        <v>0</v>
      </c>
      <c r="I60" s="227"/>
    </row>
    <row r="61" s="215" customFormat="1" customHeight="1" spans="1:9">
      <c r="A61" s="235" t="s">
        <v>63</v>
      </c>
      <c r="B61" s="231">
        <f t="shared" si="2"/>
        <v>0</v>
      </c>
      <c r="C61" s="227">
        <v>0</v>
      </c>
      <c r="D61" s="227">
        <v>0</v>
      </c>
      <c r="E61" s="227"/>
      <c r="F61" s="227">
        <v>0</v>
      </c>
      <c r="G61" s="227">
        <v>0</v>
      </c>
      <c r="H61" s="227">
        <v>0</v>
      </c>
      <c r="I61" s="227"/>
    </row>
    <row r="62" s="215" customFormat="1" customHeight="1" spans="1:9">
      <c r="A62" s="235" t="s">
        <v>64</v>
      </c>
      <c r="B62" s="231">
        <f t="shared" si="2"/>
        <v>1971</v>
      </c>
      <c r="C62" s="227">
        <v>622</v>
      </c>
      <c r="D62" s="227">
        <v>10</v>
      </c>
      <c r="E62" s="227">
        <v>31</v>
      </c>
      <c r="F62" s="227">
        <v>0</v>
      </c>
      <c r="G62" s="227">
        <v>334</v>
      </c>
      <c r="H62" s="227">
        <v>974</v>
      </c>
      <c r="I62" s="227"/>
    </row>
    <row r="63" s="215" customFormat="1" customHeight="1" spans="1:9">
      <c r="A63" s="235" t="s">
        <v>65</v>
      </c>
      <c r="B63" s="231">
        <f t="shared" si="2"/>
        <v>1312</v>
      </c>
      <c r="C63" s="227">
        <v>442</v>
      </c>
      <c r="D63" s="227">
        <v>7</v>
      </c>
      <c r="E63" s="227">
        <v>25</v>
      </c>
      <c r="F63" s="227">
        <v>1</v>
      </c>
      <c r="G63" s="227">
        <v>229</v>
      </c>
      <c r="H63" s="227">
        <v>608</v>
      </c>
      <c r="I63" s="227"/>
    </row>
    <row r="64" s="214" customFormat="1" customHeight="1" spans="1:9">
      <c r="A64" s="236" t="s">
        <v>66</v>
      </c>
      <c r="B64" s="229">
        <f t="shared" si="2"/>
        <v>758.8</v>
      </c>
      <c r="C64" s="226">
        <v>580</v>
      </c>
      <c r="D64" s="226">
        <v>3</v>
      </c>
      <c r="E64" s="226">
        <v>32</v>
      </c>
      <c r="F64" s="226">
        <v>0.8</v>
      </c>
      <c r="G64" s="226">
        <v>61</v>
      </c>
      <c r="H64" s="226">
        <v>82</v>
      </c>
      <c r="I64" s="226"/>
    </row>
    <row r="65" s="215" customFormat="1" customHeight="1" spans="1:9">
      <c r="A65" s="235" t="s">
        <v>26</v>
      </c>
      <c r="B65" s="231">
        <f t="shared" si="2"/>
        <v>276.7</v>
      </c>
      <c r="C65" s="227">
        <v>257</v>
      </c>
      <c r="D65" s="227">
        <v>1</v>
      </c>
      <c r="E65" s="227">
        <v>13</v>
      </c>
      <c r="F65" s="227">
        <v>0.7</v>
      </c>
      <c r="G65" s="227">
        <v>5</v>
      </c>
      <c r="H65" s="227">
        <v>0</v>
      </c>
      <c r="I65" s="227"/>
    </row>
    <row r="66" s="215" customFormat="1" customHeight="1" spans="1:9">
      <c r="A66" s="235" t="s">
        <v>67</v>
      </c>
      <c r="B66" s="231">
        <f t="shared" si="2"/>
        <v>439.1</v>
      </c>
      <c r="C66" s="227">
        <v>297</v>
      </c>
      <c r="D66" s="227">
        <v>1</v>
      </c>
      <c r="E66" s="227">
        <v>17</v>
      </c>
      <c r="F66" s="227">
        <v>0.1</v>
      </c>
      <c r="G66" s="227">
        <v>42</v>
      </c>
      <c r="H66" s="227">
        <v>82</v>
      </c>
      <c r="I66" s="227"/>
    </row>
    <row r="67" s="215" customFormat="1" customHeight="1" spans="1:9">
      <c r="A67" s="235" t="s">
        <v>68</v>
      </c>
      <c r="B67" s="231">
        <f t="shared" si="2"/>
        <v>43</v>
      </c>
      <c r="C67" s="227">
        <v>26</v>
      </c>
      <c r="D67" s="227">
        <v>1</v>
      </c>
      <c r="E67" s="227">
        <v>2</v>
      </c>
      <c r="F67" s="227">
        <v>0</v>
      </c>
      <c r="G67" s="227">
        <v>14</v>
      </c>
      <c r="H67" s="227">
        <v>0</v>
      </c>
      <c r="I67" s="227"/>
    </row>
    <row r="68" s="215" customFormat="1" customHeight="1" spans="1:9">
      <c r="A68" s="235" t="s">
        <v>69</v>
      </c>
      <c r="B68" s="231">
        <f t="shared" si="2"/>
        <v>580</v>
      </c>
      <c r="C68" s="227">
        <v>303</v>
      </c>
      <c r="D68" s="227">
        <v>13</v>
      </c>
      <c r="E68" s="227">
        <v>20</v>
      </c>
      <c r="F68" s="227">
        <v>0</v>
      </c>
      <c r="G68" s="227">
        <v>174</v>
      </c>
      <c r="H68" s="227">
        <v>70</v>
      </c>
      <c r="I68" s="227"/>
    </row>
    <row r="69" s="215" customFormat="1" customHeight="1" spans="1:9">
      <c r="A69" s="235" t="s">
        <v>70</v>
      </c>
      <c r="B69" s="231">
        <f t="shared" si="2"/>
        <v>784.9</v>
      </c>
      <c r="C69" s="227">
        <v>471</v>
      </c>
      <c r="D69" s="227">
        <v>26</v>
      </c>
      <c r="E69" s="227">
        <v>28</v>
      </c>
      <c r="F69" s="227">
        <v>0.9</v>
      </c>
      <c r="G69" s="227">
        <v>259</v>
      </c>
      <c r="H69" s="227">
        <v>0</v>
      </c>
      <c r="I69" s="227"/>
    </row>
    <row r="70" s="215" customFormat="1" customHeight="1" spans="1:9">
      <c r="A70" s="235" t="s">
        <v>71</v>
      </c>
      <c r="B70" s="231">
        <f t="shared" si="2"/>
        <v>1081.7</v>
      </c>
      <c r="C70" s="227">
        <v>532</v>
      </c>
      <c r="D70" s="227">
        <v>43</v>
      </c>
      <c r="E70" s="227">
        <v>29</v>
      </c>
      <c r="F70" s="227">
        <v>0.7</v>
      </c>
      <c r="G70" s="227">
        <v>317</v>
      </c>
      <c r="H70" s="227">
        <v>160</v>
      </c>
      <c r="I70" s="227"/>
    </row>
    <row r="71" s="215" customFormat="1" customHeight="1" spans="1:9">
      <c r="A71" s="235" t="s">
        <v>72</v>
      </c>
      <c r="B71" s="231">
        <f t="shared" si="2"/>
        <v>2557.2</v>
      </c>
      <c r="C71" s="227">
        <v>834</v>
      </c>
      <c r="D71" s="227">
        <v>14</v>
      </c>
      <c r="E71" s="227">
        <v>46</v>
      </c>
      <c r="F71" s="227">
        <v>1.2</v>
      </c>
      <c r="G71" s="227">
        <v>432</v>
      </c>
      <c r="H71" s="227">
        <v>1230</v>
      </c>
      <c r="I71" s="227"/>
    </row>
    <row r="72" s="215" customFormat="1" customHeight="1" spans="1:9">
      <c r="A72" s="235" t="s">
        <v>73</v>
      </c>
      <c r="B72" s="231">
        <f t="shared" si="2"/>
        <v>436.3</v>
      </c>
      <c r="C72" s="227">
        <v>265</v>
      </c>
      <c r="D72" s="227">
        <v>11</v>
      </c>
      <c r="E72" s="227">
        <v>15</v>
      </c>
      <c r="F72" s="227">
        <v>0.3</v>
      </c>
      <c r="G72" s="227">
        <v>145</v>
      </c>
      <c r="H72" s="227">
        <v>0</v>
      </c>
      <c r="I72" s="227"/>
    </row>
    <row r="73" s="214" customFormat="1" customHeight="1" spans="1:9">
      <c r="A73" s="236" t="s">
        <v>74</v>
      </c>
      <c r="B73" s="229">
        <f t="shared" si="2"/>
        <v>784.7</v>
      </c>
      <c r="C73" s="226">
        <v>619</v>
      </c>
      <c r="D73" s="226">
        <v>4</v>
      </c>
      <c r="E73" s="226">
        <v>45</v>
      </c>
      <c r="F73" s="226">
        <v>1.7</v>
      </c>
      <c r="G73" s="226">
        <v>115</v>
      </c>
      <c r="H73" s="226">
        <v>0</v>
      </c>
      <c r="I73" s="226"/>
    </row>
    <row r="74" s="215" customFormat="1" customHeight="1" spans="1:9">
      <c r="A74" s="235" t="s">
        <v>26</v>
      </c>
      <c r="B74" s="231">
        <f t="shared" si="2"/>
        <v>238.4</v>
      </c>
      <c r="C74" s="227">
        <v>220</v>
      </c>
      <c r="D74" s="227">
        <v>0</v>
      </c>
      <c r="E74" s="227">
        <v>17</v>
      </c>
      <c r="F74" s="227">
        <v>1.4</v>
      </c>
      <c r="G74" s="227">
        <v>0</v>
      </c>
      <c r="H74" s="227">
        <v>0</v>
      </c>
      <c r="I74" s="227"/>
    </row>
    <row r="75" s="215" customFormat="1" customHeight="1" spans="1:9">
      <c r="A75" s="235" t="s">
        <v>75</v>
      </c>
      <c r="B75" s="231">
        <f t="shared" si="2"/>
        <v>267.3</v>
      </c>
      <c r="C75" s="227">
        <v>232</v>
      </c>
      <c r="D75" s="227">
        <v>2</v>
      </c>
      <c r="E75" s="227">
        <v>14</v>
      </c>
      <c r="F75" s="227">
        <v>0.3</v>
      </c>
      <c r="G75" s="227">
        <v>19</v>
      </c>
      <c r="H75" s="227">
        <v>0</v>
      </c>
      <c r="I75" s="227"/>
    </row>
    <row r="76" s="215" customFormat="1" customHeight="1" spans="1:9">
      <c r="A76" s="235" t="s">
        <v>76</v>
      </c>
      <c r="B76" s="231">
        <f t="shared" si="2"/>
        <v>279</v>
      </c>
      <c r="C76" s="227">
        <v>167</v>
      </c>
      <c r="D76" s="227">
        <v>2</v>
      </c>
      <c r="E76" s="227">
        <v>14</v>
      </c>
      <c r="F76" s="227">
        <v>0</v>
      </c>
      <c r="G76" s="227">
        <v>96</v>
      </c>
      <c r="H76" s="227">
        <v>0</v>
      </c>
      <c r="I76" s="227"/>
    </row>
    <row r="77" s="215" customFormat="1" customHeight="1" spans="1:9">
      <c r="A77" s="235" t="s">
        <v>77</v>
      </c>
      <c r="B77" s="231">
        <f t="shared" si="2"/>
        <v>640.5</v>
      </c>
      <c r="C77" s="227">
        <v>386</v>
      </c>
      <c r="D77" s="227">
        <v>5</v>
      </c>
      <c r="E77" s="227">
        <v>17</v>
      </c>
      <c r="F77" s="227">
        <v>0.5</v>
      </c>
      <c r="G77" s="227">
        <v>232</v>
      </c>
      <c r="H77" s="227">
        <v>0</v>
      </c>
      <c r="I77" s="227"/>
    </row>
    <row r="78" s="215" customFormat="1" customHeight="1" spans="1:9">
      <c r="A78" s="235" t="s">
        <v>78</v>
      </c>
      <c r="B78" s="231">
        <f t="shared" si="2"/>
        <v>432</v>
      </c>
      <c r="C78" s="227">
        <v>216</v>
      </c>
      <c r="D78" s="227">
        <v>11</v>
      </c>
      <c r="E78" s="227">
        <v>15</v>
      </c>
      <c r="F78" s="227">
        <v>0</v>
      </c>
      <c r="G78" s="227">
        <v>119</v>
      </c>
      <c r="H78" s="227">
        <v>0</v>
      </c>
      <c r="I78" s="227">
        <v>71</v>
      </c>
    </row>
    <row r="79" s="216" customFormat="1" customHeight="1" spans="1:9">
      <c r="A79" s="235" t="s">
        <v>79</v>
      </c>
      <c r="B79" s="231">
        <f t="shared" si="2"/>
        <v>210</v>
      </c>
      <c r="C79" s="227">
        <v>154</v>
      </c>
      <c r="D79" s="227">
        <v>2</v>
      </c>
      <c r="E79" s="227">
        <v>6</v>
      </c>
      <c r="F79" s="227">
        <v>0</v>
      </c>
      <c r="G79" s="227">
        <v>48</v>
      </c>
      <c r="H79" s="227">
        <v>0</v>
      </c>
      <c r="I79" s="227"/>
    </row>
    <row r="80" s="215" customFormat="1" customHeight="1" spans="1:9">
      <c r="A80" s="235" t="s">
        <v>80</v>
      </c>
      <c r="B80" s="231">
        <f t="shared" si="2"/>
        <v>328.3</v>
      </c>
      <c r="C80" s="227">
        <v>209</v>
      </c>
      <c r="D80" s="227">
        <v>3</v>
      </c>
      <c r="E80" s="227">
        <v>11</v>
      </c>
      <c r="F80" s="227">
        <v>0.3</v>
      </c>
      <c r="G80" s="227">
        <v>105</v>
      </c>
      <c r="H80" s="227">
        <v>0</v>
      </c>
      <c r="I80" s="227"/>
    </row>
    <row r="81" s="214" customFormat="1" customHeight="1" spans="1:9">
      <c r="A81" s="236" t="s">
        <v>81</v>
      </c>
      <c r="B81" s="229">
        <f t="shared" si="2"/>
        <v>2568.3</v>
      </c>
      <c r="C81" s="226">
        <v>1384</v>
      </c>
      <c r="D81" s="226">
        <v>10</v>
      </c>
      <c r="E81" s="226">
        <v>46</v>
      </c>
      <c r="F81" s="226">
        <v>1.3</v>
      </c>
      <c r="G81" s="226">
        <v>127</v>
      </c>
      <c r="H81" s="226">
        <v>1000</v>
      </c>
      <c r="I81" s="226"/>
    </row>
    <row r="82" s="215" customFormat="1" customHeight="1" spans="1:9">
      <c r="A82" s="235" t="s">
        <v>26</v>
      </c>
      <c r="B82" s="231">
        <f t="shared" si="2"/>
        <v>625.3</v>
      </c>
      <c r="C82" s="227">
        <v>595</v>
      </c>
      <c r="D82" s="227">
        <v>3</v>
      </c>
      <c r="E82" s="227">
        <v>26</v>
      </c>
      <c r="F82" s="227">
        <v>1.3</v>
      </c>
      <c r="G82" s="227">
        <v>0</v>
      </c>
      <c r="H82" s="227">
        <v>0</v>
      </c>
      <c r="I82" s="227"/>
    </row>
    <row r="83" s="215" customFormat="1" customHeight="1" spans="1:9">
      <c r="A83" s="235" t="s">
        <v>82</v>
      </c>
      <c r="B83" s="231">
        <f t="shared" si="2"/>
        <v>1841</v>
      </c>
      <c r="C83" s="227">
        <v>720</v>
      </c>
      <c r="D83" s="227">
        <v>6</v>
      </c>
      <c r="E83" s="227">
        <v>18</v>
      </c>
      <c r="F83" s="227">
        <v>0</v>
      </c>
      <c r="G83" s="227">
        <v>97</v>
      </c>
      <c r="H83" s="227">
        <v>1000</v>
      </c>
      <c r="I83" s="227"/>
    </row>
    <row r="84" s="215" customFormat="1" customHeight="1" spans="1:9">
      <c r="A84" s="237" t="s">
        <v>33</v>
      </c>
      <c r="B84" s="231">
        <f t="shared" si="2"/>
        <v>64</v>
      </c>
      <c r="C84" s="227">
        <v>43</v>
      </c>
      <c r="D84" s="227">
        <v>1</v>
      </c>
      <c r="E84" s="227">
        <v>2</v>
      </c>
      <c r="F84" s="227">
        <v>0</v>
      </c>
      <c r="G84" s="227">
        <v>18</v>
      </c>
      <c r="H84" s="227"/>
      <c r="I84" s="227"/>
    </row>
    <row r="85" s="215" customFormat="1" customHeight="1" spans="1:9">
      <c r="A85" s="237" t="s">
        <v>83</v>
      </c>
      <c r="B85" s="231">
        <f t="shared" si="2"/>
        <v>38</v>
      </c>
      <c r="C85" s="227">
        <v>26</v>
      </c>
      <c r="D85" s="227">
        <v>0</v>
      </c>
      <c r="E85" s="227">
        <v>0</v>
      </c>
      <c r="F85" s="227">
        <v>0</v>
      </c>
      <c r="G85" s="227">
        <v>12</v>
      </c>
      <c r="H85" s="227"/>
      <c r="I85" s="227"/>
    </row>
    <row r="86" s="216" customFormat="1" customHeight="1" spans="1:9">
      <c r="A86" s="235" t="s">
        <v>84</v>
      </c>
      <c r="B86" s="231">
        <f t="shared" ref="B86:B110" si="3">C86+D86+E86+F86+G86+H86+I86</f>
        <v>2023</v>
      </c>
      <c r="C86" s="227">
        <v>1418</v>
      </c>
      <c r="D86" s="227">
        <v>38</v>
      </c>
      <c r="E86" s="227">
        <v>44</v>
      </c>
      <c r="F86" s="227">
        <v>0</v>
      </c>
      <c r="G86" s="227">
        <v>523</v>
      </c>
      <c r="H86" s="227">
        <v>0</v>
      </c>
      <c r="I86" s="227"/>
    </row>
    <row r="87" s="215" customFormat="1" customHeight="1" spans="1:9">
      <c r="A87" s="235" t="s">
        <v>85</v>
      </c>
      <c r="B87" s="231">
        <f t="shared" si="3"/>
        <v>2243.7</v>
      </c>
      <c r="C87" s="227">
        <v>1362</v>
      </c>
      <c r="D87" s="227">
        <v>56</v>
      </c>
      <c r="E87" s="227">
        <v>48</v>
      </c>
      <c r="F87" s="227">
        <v>0.7</v>
      </c>
      <c r="G87" s="227">
        <v>594</v>
      </c>
      <c r="H87" s="227">
        <v>183</v>
      </c>
      <c r="I87" s="227"/>
    </row>
    <row r="88" s="215" customFormat="1" customHeight="1" spans="1:9">
      <c r="A88" s="235" t="s">
        <v>86</v>
      </c>
      <c r="B88" s="231">
        <f t="shared" si="3"/>
        <v>1077</v>
      </c>
      <c r="C88" s="227">
        <v>392</v>
      </c>
      <c r="D88" s="227">
        <v>6</v>
      </c>
      <c r="E88" s="227">
        <v>19</v>
      </c>
      <c r="F88" s="227">
        <v>0</v>
      </c>
      <c r="G88" s="227">
        <v>216</v>
      </c>
      <c r="H88" s="227">
        <v>444</v>
      </c>
      <c r="I88" s="227"/>
    </row>
    <row r="89" s="215" customFormat="1" customHeight="1" spans="1:9">
      <c r="A89" s="235" t="s">
        <v>87</v>
      </c>
      <c r="B89" s="231">
        <f t="shared" si="3"/>
        <v>2230.8</v>
      </c>
      <c r="C89" s="227">
        <v>1080</v>
      </c>
      <c r="D89" s="227">
        <v>20</v>
      </c>
      <c r="E89" s="227">
        <v>35</v>
      </c>
      <c r="F89" s="227">
        <v>0.8</v>
      </c>
      <c r="G89" s="227">
        <v>447</v>
      </c>
      <c r="H89" s="227">
        <v>648</v>
      </c>
      <c r="I89" s="227"/>
    </row>
    <row r="90" s="214" customFormat="1" customHeight="1" spans="1:9">
      <c r="A90" s="236" t="s">
        <v>88</v>
      </c>
      <c r="B90" s="229">
        <f t="shared" si="3"/>
        <v>1150.3</v>
      </c>
      <c r="C90" s="226">
        <v>830</v>
      </c>
      <c r="D90" s="226">
        <v>31</v>
      </c>
      <c r="E90" s="226">
        <v>22</v>
      </c>
      <c r="F90" s="226">
        <v>0.3</v>
      </c>
      <c r="G90" s="226">
        <v>87</v>
      </c>
      <c r="H90" s="226">
        <v>180</v>
      </c>
      <c r="I90" s="226"/>
    </row>
    <row r="91" s="215" customFormat="1" customHeight="1" spans="1:9">
      <c r="A91" s="235" t="s">
        <v>26</v>
      </c>
      <c r="B91" s="231">
        <f t="shared" si="3"/>
        <v>153.3</v>
      </c>
      <c r="C91" s="227">
        <v>141</v>
      </c>
      <c r="D91" s="227">
        <v>3</v>
      </c>
      <c r="E91" s="227">
        <v>9</v>
      </c>
      <c r="F91" s="227">
        <v>0.3</v>
      </c>
      <c r="G91" s="227">
        <v>0</v>
      </c>
      <c r="H91" s="227">
        <v>0</v>
      </c>
      <c r="I91" s="227"/>
    </row>
    <row r="92" s="215" customFormat="1" customHeight="1" spans="1:9">
      <c r="A92" s="235" t="s">
        <v>89</v>
      </c>
      <c r="B92" s="231">
        <f t="shared" si="3"/>
        <v>997</v>
      </c>
      <c r="C92" s="227">
        <v>689</v>
      </c>
      <c r="D92" s="227">
        <v>28</v>
      </c>
      <c r="E92" s="227">
        <v>13</v>
      </c>
      <c r="F92" s="227">
        <v>0</v>
      </c>
      <c r="G92" s="227">
        <v>87</v>
      </c>
      <c r="H92" s="227">
        <v>180</v>
      </c>
      <c r="I92" s="227"/>
    </row>
    <row r="93" s="215" customFormat="1" customHeight="1" spans="1:9">
      <c r="A93" s="235" t="s">
        <v>90</v>
      </c>
      <c r="B93" s="231">
        <f t="shared" si="3"/>
        <v>715.9</v>
      </c>
      <c r="C93" s="227">
        <v>430</v>
      </c>
      <c r="D93" s="227">
        <v>24</v>
      </c>
      <c r="E93" s="227">
        <v>28</v>
      </c>
      <c r="F93" s="227">
        <v>2.9</v>
      </c>
      <c r="G93" s="227">
        <v>220</v>
      </c>
      <c r="H93" s="227">
        <v>11</v>
      </c>
      <c r="I93" s="227"/>
    </row>
    <row r="94" s="215" customFormat="1" customHeight="1" spans="1:9">
      <c r="A94" s="235" t="s">
        <v>91</v>
      </c>
      <c r="B94" s="231">
        <f t="shared" si="3"/>
        <v>1038.5</v>
      </c>
      <c r="C94" s="227">
        <v>545</v>
      </c>
      <c r="D94" s="227">
        <v>47</v>
      </c>
      <c r="E94" s="227">
        <v>27</v>
      </c>
      <c r="F94" s="227">
        <v>2.5</v>
      </c>
      <c r="G94" s="227">
        <v>304</v>
      </c>
      <c r="H94" s="227">
        <v>113</v>
      </c>
      <c r="I94" s="227"/>
    </row>
    <row r="95" s="215" customFormat="1" customHeight="1" spans="1:9">
      <c r="A95" s="235" t="s">
        <v>92</v>
      </c>
      <c r="B95" s="231">
        <f t="shared" si="3"/>
        <v>1039.4</v>
      </c>
      <c r="C95" s="227">
        <v>623</v>
      </c>
      <c r="D95" s="227">
        <v>21</v>
      </c>
      <c r="E95" s="227">
        <v>25</v>
      </c>
      <c r="F95" s="227">
        <v>0.4</v>
      </c>
      <c r="G95" s="227">
        <v>335</v>
      </c>
      <c r="H95" s="227">
        <v>35</v>
      </c>
      <c r="I95" s="227"/>
    </row>
    <row r="96" s="215" customFormat="1" customHeight="1" spans="1:9">
      <c r="A96" s="235" t="s">
        <v>93</v>
      </c>
      <c r="B96" s="231">
        <f t="shared" si="3"/>
        <v>748.6</v>
      </c>
      <c r="C96" s="227">
        <v>444</v>
      </c>
      <c r="D96" s="227">
        <v>24</v>
      </c>
      <c r="E96" s="227">
        <v>37</v>
      </c>
      <c r="F96" s="227">
        <v>2.6</v>
      </c>
      <c r="G96" s="227">
        <v>241</v>
      </c>
      <c r="H96" s="227">
        <v>0</v>
      </c>
      <c r="I96" s="227"/>
    </row>
    <row r="97" s="214" customFormat="1" customHeight="1" spans="1:9">
      <c r="A97" s="236" t="s">
        <v>94</v>
      </c>
      <c r="B97" s="229">
        <f t="shared" si="3"/>
        <v>3957.1</v>
      </c>
      <c r="C97" s="238">
        <v>1385</v>
      </c>
      <c r="D97" s="238">
        <v>36</v>
      </c>
      <c r="E97" s="238">
        <v>68</v>
      </c>
      <c r="F97" s="238">
        <v>1.1</v>
      </c>
      <c r="G97" s="238">
        <v>1640</v>
      </c>
      <c r="H97" s="238">
        <v>52</v>
      </c>
      <c r="I97" s="238">
        <f>SUM(I98:I106)</f>
        <v>775</v>
      </c>
    </row>
    <row r="98" s="215" customFormat="1" customHeight="1" spans="1:9">
      <c r="A98" s="235" t="s">
        <v>26</v>
      </c>
      <c r="B98" s="231">
        <f t="shared" si="3"/>
        <v>28.3</v>
      </c>
      <c r="C98" s="227">
        <v>15</v>
      </c>
      <c r="D98" s="227">
        <v>1</v>
      </c>
      <c r="E98" s="227">
        <v>8</v>
      </c>
      <c r="F98" s="227">
        <v>0.3</v>
      </c>
      <c r="G98" s="227">
        <v>1</v>
      </c>
      <c r="H98" s="227">
        <v>0</v>
      </c>
      <c r="I98" s="227">
        <v>3</v>
      </c>
    </row>
    <row r="99" s="215" customFormat="1" customHeight="1" spans="1:9">
      <c r="A99" s="235" t="s">
        <v>95</v>
      </c>
      <c r="B99" s="231">
        <f t="shared" si="3"/>
        <v>1239</v>
      </c>
      <c r="C99" s="227">
        <v>501</v>
      </c>
      <c r="D99" s="227">
        <v>5</v>
      </c>
      <c r="E99" s="227">
        <v>11</v>
      </c>
      <c r="F99" s="227">
        <v>0</v>
      </c>
      <c r="G99" s="227">
        <v>581</v>
      </c>
      <c r="H99" s="227">
        <v>28</v>
      </c>
      <c r="I99" s="227">
        <v>113</v>
      </c>
    </row>
    <row r="100" s="215" customFormat="1" customHeight="1" spans="1:9">
      <c r="A100" s="235" t="s">
        <v>96</v>
      </c>
      <c r="B100" s="231">
        <f t="shared" si="3"/>
        <v>95</v>
      </c>
      <c r="C100" s="227">
        <v>38</v>
      </c>
      <c r="D100" s="227">
        <v>0</v>
      </c>
      <c r="E100" s="227">
        <v>1</v>
      </c>
      <c r="F100" s="227">
        <v>0</v>
      </c>
      <c r="G100" s="227">
        <v>46</v>
      </c>
      <c r="H100" s="227">
        <v>2</v>
      </c>
      <c r="I100" s="227">
        <v>8</v>
      </c>
    </row>
    <row r="101" s="215" customFormat="1" customHeight="1" spans="1:9">
      <c r="A101" s="235" t="s">
        <v>97</v>
      </c>
      <c r="B101" s="231">
        <f t="shared" si="3"/>
        <v>1050.4</v>
      </c>
      <c r="C101" s="227">
        <v>316</v>
      </c>
      <c r="D101" s="227">
        <v>9</v>
      </c>
      <c r="E101" s="227">
        <v>24</v>
      </c>
      <c r="F101" s="227">
        <v>0.4</v>
      </c>
      <c r="G101" s="227">
        <v>389</v>
      </c>
      <c r="H101" s="227">
        <v>0</v>
      </c>
      <c r="I101" s="227">
        <v>312</v>
      </c>
    </row>
    <row r="102" s="215" customFormat="1" customHeight="1" spans="1:9">
      <c r="A102" s="235" t="s">
        <v>98</v>
      </c>
      <c r="B102" s="231">
        <f t="shared" si="3"/>
        <v>475.4</v>
      </c>
      <c r="C102" s="227">
        <v>184</v>
      </c>
      <c r="D102" s="227">
        <v>2</v>
      </c>
      <c r="E102" s="227">
        <v>7</v>
      </c>
      <c r="F102" s="227">
        <v>0.4</v>
      </c>
      <c r="G102" s="227">
        <v>233</v>
      </c>
      <c r="H102" s="227">
        <v>0</v>
      </c>
      <c r="I102" s="227">
        <v>49</v>
      </c>
    </row>
    <row r="103" s="215" customFormat="1" customHeight="1" spans="1:9">
      <c r="A103" s="235" t="s">
        <v>99</v>
      </c>
      <c r="B103" s="231">
        <f t="shared" si="3"/>
        <v>138</v>
      </c>
      <c r="C103" s="227">
        <v>52</v>
      </c>
      <c r="D103" s="227">
        <v>2</v>
      </c>
      <c r="E103" s="227">
        <v>2</v>
      </c>
      <c r="F103" s="227">
        <v>0</v>
      </c>
      <c r="G103" s="227">
        <v>66</v>
      </c>
      <c r="H103" s="227">
        <v>8</v>
      </c>
      <c r="I103" s="227">
        <v>8</v>
      </c>
    </row>
    <row r="104" s="215" customFormat="1" customHeight="1" spans="1:9">
      <c r="A104" s="235" t="s">
        <v>100</v>
      </c>
      <c r="B104" s="231">
        <f t="shared" si="3"/>
        <v>203</v>
      </c>
      <c r="C104" s="227">
        <v>67</v>
      </c>
      <c r="D104" s="227">
        <v>4</v>
      </c>
      <c r="E104" s="227">
        <v>3</v>
      </c>
      <c r="F104" s="227">
        <v>0</v>
      </c>
      <c r="G104" s="227">
        <v>77</v>
      </c>
      <c r="H104" s="227">
        <v>5</v>
      </c>
      <c r="I104" s="227">
        <v>47</v>
      </c>
    </row>
    <row r="105" s="215" customFormat="1" customHeight="1" spans="1:9">
      <c r="A105" s="235" t="s">
        <v>101</v>
      </c>
      <c r="B105" s="231">
        <f t="shared" si="3"/>
        <v>383</v>
      </c>
      <c r="C105" s="227">
        <v>114</v>
      </c>
      <c r="D105" s="227">
        <v>7</v>
      </c>
      <c r="E105" s="227">
        <v>6</v>
      </c>
      <c r="F105" s="227">
        <v>0</v>
      </c>
      <c r="G105" s="227">
        <v>135</v>
      </c>
      <c r="H105" s="227">
        <v>9</v>
      </c>
      <c r="I105" s="227">
        <v>112</v>
      </c>
    </row>
    <row r="106" s="215" customFormat="1" customHeight="1" spans="1:9">
      <c r="A106" s="235" t="s">
        <v>102</v>
      </c>
      <c r="B106" s="231">
        <f t="shared" si="3"/>
        <v>345</v>
      </c>
      <c r="C106" s="227">
        <v>98</v>
      </c>
      <c r="D106" s="227">
        <v>6</v>
      </c>
      <c r="E106" s="227">
        <v>6</v>
      </c>
      <c r="F106" s="227">
        <v>0</v>
      </c>
      <c r="G106" s="227">
        <v>112</v>
      </c>
      <c r="H106" s="227">
        <v>0</v>
      </c>
      <c r="I106" s="227">
        <v>123</v>
      </c>
    </row>
    <row r="107" s="214" customFormat="1" customHeight="1" spans="1:9">
      <c r="A107" s="236" t="s">
        <v>103</v>
      </c>
      <c r="B107" s="229">
        <f t="shared" si="3"/>
        <v>128</v>
      </c>
      <c r="C107" s="226">
        <v>76</v>
      </c>
      <c r="D107" s="226">
        <v>1</v>
      </c>
      <c r="E107" s="226">
        <v>4</v>
      </c>
      <c r="F107" s="226">
        <v>0</v>
      </c>
      <c r="G107" s="226">
        <v>47</v>
      </c>
      <c r="H107" s="226">
        <v>0</v>
      </c>
      <c r="I107" s="226"/>
    </row>
    <row r="108" s="217" customFormat="1" ht="11" hidden="1" customHeight="1" spans="1:9">
      <c r="A108" s="239" t="s">
        <v>104</v>
      </c>
      <c r="B108" s="240">
        <f t="shared" si="3"/>
        <v>15</v>
      </c>
      <c r="C108" s="202">
        <v>8</v>
      </c>
      <c r="D108" s="202">
        <v>0</v>
      </c>
      <c r="E108" s="202">
        <v>2</v>
      </c>
      <c r="F108" s="202">
        <v>0</v>
      </c>
      <c r="G108" s="202">
        <v>5</v>
      </c>
      <c r="H108" s="202"/>
      <c r="I108" s="202"/>
    </row>
    <row r="109" s="217" customFormat="1" ht="11" hidden="1" customHeight="1" spans="1:9">
      <c r="A109" s="239" t="s">
        <v>105</v>
      </c>
      <c r="B109" s="240">
        <f t="shared" si="3"/>
        <v>3</v>
      </c>
      <c r="C109" s="202">
        <v>1</v>
      </c>
      <c r="D109" s="202">
        <v>0</v>
      </c>
      <c r="E109" s="202">
        <v>0</v>
      </c>
      <c r="F109" s="202">
        <v>0</v>
      </c>
      <c r="G109" s="202">
        <v>2</v>
      </c>
      <c r="H109" s="202"/>
      <c r="I109" s="202"/>
    </row>
    <row r="110" s="217" customFormat="1" ht="11" hidden="1" customHeight="1" spans="1:9">
      <c r="A110" s="239" t="s">
        <v>106</v>
      </c>
      <c r="B110" s="240">
        <f t="shared" si="3"/>
        <v>110</v>
      </c>
      <c r="C110" s="202">
        <v>67</v>
      </c>
      <c r="D110" s="202">
        <v>1</v>
      </c>
      <c r="E110" s="202">
        <v>2</v>
      </c>
      <c r="F110" s="202">
        <v>0</v>
      </c>
      <c r="G110" s="202">
        <v>40</v>
      </c>
      <c r="H110" s="202"/>
      <c r="I110" s="202"/>
    </row>
  </sheetData>
  <mergeCells count="2">
    <mergeCell ref="A2:I2"/>
    <mergeCell ref="A4:A5"/>
  </mergeCells>
  <printOptions horizontalCentered="1" verticalCentered="1"/>
  <pageMargins left="0.235416666666667" right="0.275" top="0.118055555555556" bottom="0.354166666666667" header="0.196527777777778" footer="0.0777777777777778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V106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AR87" sqref="AR87"/>
    </sheetView>
  </sheetViews>
  <sheetFormatPr defaultColWidth="9" defaultRowHeight="13.5"/>
  <cols>
    <col min="1" max="1" width="13.125" style="168" customWidth="1"/>
    <col min="2" max="2" width="10.25" hidden="1" customWidth="1"/>
    <col min="3" max="3" width="9.875" hidden="1" customWidth="1"/>
    <col min="4" max="4" width="9.5" style="169" hidden="1" customWidth="1"/>
    <col min="5" max="5" width="9.375" hidden="1" customWidth="1"/>
    <col min="6" max="9" width="10.75" style="169" hidden="1" customWidth="1"/>
    <col min="10" max="10" width="10.375" style="169" hidden="1" customWidth="1"/>
    <col min="11" max="11" width="9" hidden="1" customWidth="1"/>
    <col min="12" max="12" width="17.25" customWidth="1"/>
    <col min="13" max="14" width="9.75" hidden="1" customWidth="1"/>
    <col min="15" max="15" width="9.625" hidden="1" customWidth="1"/>
    <col min="16" max="18" width="9.75" hidden="1" customWidth="1"/>
    <col min="19" max="19" width="12.125" hidden="1" customWidth="1"/>
    <col min="20" max="21" width="7.75" hidden="1" customWidth="1"/>
    <col min="22" max="22" width="9.875" style="169" hidden="1" customWidth="1"/>
    <col min="23" max="23" width="17.375" style="169" customWidth="1"/>
    <col min="24" max="24" width="9.875" style="169" hidden="1" customWidth="1"/>
    <col min="25" max="25" width="9.875" hidden="1" customWidth="1"/>
    <col min="26" max="26" width="17.375" customWidth="1"/>
    <col min="27" max="28" width="9.875" hidden="1" customWidth="1"/>
    <col min="29" max="29" width="17.375" customWidth="1"/>
    <col min="30" max="31" width="9.875" hidden="1" customWidth="1"/>
    <col min="32" max="32" width="17.375" customWidth="1"/>
    <col min="33" max="34" width="9.875" hidden="1" customWidth="1"/>
    <col min="35" max="35" width="17.375" customWidth="1"/>
    <col min="36" max="37" width="9.875" hidden="1" customWidth="1"/>
    <col min="38" max="38" width="17.375" customWidth="1"/>
    <col min="39" max="39" width="9.875" hidden="1" customWidth="1"/>
    <col min="40" max="40" width="15.625" hidden="1" customWidth="1"/>
    <col min="41" max="41" width="16" customWidth="1"/>
    <col min="42" max="42" width="9.875" hidden="1" customWidth="1"/>
  </cols>
  <sheetData>
    <row r="1" spans="1:42">
      <c r="A1" s="170" t="s">
        <v>107</v>
      </c>
      <c r="B1" s="171"/>
      <c r="C1" s="171"/>
      <c r="D1" s="172"/>
      <c r="E1" s="171"/>
      <c r="F1" s="172"/>
      <c r="G1" s="172"/>
      <c r="H1" s="172"/>
      <c r="I1" s="172"/>
      <c r="J1" s="172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2"/>
      <c r="W1" s="172"/>
      <c r="X1" s="172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</row>
    <row r="2" ht="22.5" customHeight="1" spans="1:42">
      <c r="A2" s="173" t="s">
        <v>108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</row>
    <row r="3" spans="1:42">
      <c r="A3" s="170"/>
      <c r="B3" s="171"/>
      <c r="C3" s="171"/>
      <c r="D3" s="172"/>
      <c r="E3" s="171"/>
      <c r="F3" s="172"/>
      <c r="G3" s="172"/>
      <c r="H3" s="172"/>
      <c r="I3" s="172"/>
      <c r="J3" s="172"/>
      <c r="K3" s="171"/>
      <c r="L3" s="171"/>
      <c r="M3" s="171"/>
      <c r="N3" s="171"/>
      <c r="O3" s="194"/>
      <c r="P3" s="194"/>
      <c r="Q3" s="194"/>
      <c r="R3" s="194"/>
      <c r="S3" s="194"/>
      <c r="T3" s="194"/>
      <c r="U3" s="194"/>
      <c r="V3" s="172"/>
      <c r="W3" s="172"/>
      <c r="X3" s="172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211"/>
      <c r="AP3" s="172" t="s">
        <v>2</v>
      </c>
    </row>
    <row r="4" ht="30" customHeight="1" spans="1:48">
      <c r="A4" s="174" t="s">
        <v>3</v>
      </c>
      <c r="B4" s="174" t="s">
        <v>109</v>
      </c>
      <c r="C4" s="174"/>
      <c r="D4" s="174"/>
      <c r="E4" s="174"/>
      <c r="F4" s="175" t="s">
        <v>110</v>
      </c>
      <c r="G4" s="176"/>
      <c r="H4" s="176"/>
      <c r="I4" s="176"/>
      <c r="J4" s="195"/>
      <c r="K4" s="174" t="s">
        <v>110</v>
      </c>
      <c r="L4" s="174"/>
      <c r="M4" s="174"/>
      <c r="N4" s="174"/>
      <c r="O4" s="174"/>
      <c r="P4" s="196"/>
      <c r="Q4" s="196"/>
      <c r="R4" s="196"/>
      <c r="S4" s="203"/>
      <c r="T4" s="203"/>
      <c r="U4" s="203"/>
      <c r="V4" s="203" t="s">
        <v>111</v>
      </c>
      <c r="W4" s="204" t="s">
        <v>111</v>
      </c>
      <c r="X4" s="204" t="s">
        <v>111</v>
      </c>
      <c r="Y4" s="204" t="s">
        <v>112</v>
      </c>
      <c r="Z4" s="204" t="s">
        <v>113</v>
      </c>
      <c r="AA4" s="204" t="s">
        <v>112</v>
      </c>
      <c r="AB4" s="204" t="s">
        <v>7</v>
      </c>
      <c r="AC4" s="204" t="s">
        <v>114</v>
      </c>
      <c r="AD4" s="204" t="s">
        <v>7</v>
      </c>
      <c r="AE4" s="204" t="s">
        <v>8</v>
      </c>
      <c r="AF4" s="204" t="s">
        <v>8</v>
      </c>
      <c r="AG4" s="204" t="s">
        <v>8</v>
      </c>
      <c r="AH4" s="204" t="s">
        <v>9</v>
      </c>
      <c r="AI4" s="204" t="s">
        <v>9</v>
      </c>
      <c r="AJ4" s="204" t="s">
        <v>9</v>
      </c>
      <c r="AK4" s="204" t="s">
        <v>10</v>
      </c>
      <c r="AL4" s="204" t="s">
        <v>10</v>
      </c>
      <c r="AM4" s="204" t="s">
        <v>10</v>
      </c>
      <c r="AN4" s="204" t="s">
        <v>11</v>
      </c>
      <c r="AO4" s="204" t="s">
        <v>11</v>
      </c>
      <c r="AP4" s="203" t="s">
        <v>11</v>
      </c>
      <c r="AQ4" s="212"/>
      <c r="AS4" t="s">
        <v>115</v>
      </c>
      <c r="AT4">
        <f>K17+K34+K47+K55+K62+K71+K79+K86+K94+K103</f>
        <v>67440.2</v>
      </c>
      <c r="AU4" t="s">
        <v>116</v>
      </c>
      <c r="AV4">
        <f>K16-AT4</f>
        <v>165757.8</v>
      </c>
    </row>
    <row r="5" ht="24" customHeight="1" spans="1:42">
      <c r="A5" s="174"/>
      <c r="B5" s="174" t="s">
        <v>13</v>
      </c>
      <c r="C5" s="174" t="s">
        <v>117</v>
      </c>
      <c r="D5" s="177" t="s">
        <v>118</v>
      </c>
      <c r="E5" s="174" t="s">
        <v>119</v>
      </c>
      <c r="F5" s="178" t="s">
        <v>13</v>
      </c>
      <c r="G5" s="178" t="s">
        <v>117</v>
      </c>
      <c r="H5" s="177" t="s">
        <v>120</v>
      </c>
      <c r="I5" s="177" t="s">
        <v>118</v>
      </c>
      <c r="J5" s="178" t="s">
        <v>119</v>
      </c>
      <c r="K5" s="197" t="s">
        <v>13</v>
      </c>
      <c r="L5" s="197" t="s">
        <v>117</v>
      </c>
      <c r="M5" s="197" t="s">
        <v>121</v>
      </c>
      <c r="N5" s="177" t="s">
        <v>122</v>
      </c>
      <c r="O5" s="197" t="s">
        <v>119</v>
      </c>
      <c r="P5" s="197"/>
      <c r="Q5" s="197"/>
      <c r="R5" s="197"/>
      <c r="S5" s="197"/>
      <c r="T5" s="197"/>
      <c r="U5" s="197"/>
      <c r="V5" s="197" t="s">
        <v>13</v>
      </c>
      <c r="W5" s="197" t="s">
        <v>117</v>
      </c>
      <c r="X5" s="197" t="s">
        <v>119</v>
      </c>
      <c r="Y5" s="197" t="s">
        <v>13</v>
      </c>
      <c r="Z5" s="197" t="s">
        <v>117</v>
      </c>
      <c r="AA5" s="197" t="s">
        <v>119</v>
      </c>
      <c r="AB5" s="197" t="s">
        <v>13</v>
      </c>
      <c r="AC5" s="197" t="s">
        <v>117</v>
      </c>
      <c r="AD5" s="197" t="s">
        <v>119</v>
      </c>
      <c r="AE5" s="197" t="s">
        <v>13</v>
      </c>
      <c r="AF5" s="197" t="s">
        <v>117</v>
      </c>
      <c r="AG5" s="197" t="s">
        <v>119</v>
      </c>
      <c r="AH5" s="197" t="s">
        <v>13</v>
      </c>
      <c r="AI5" s="197" t="s">
        <v>117</v>
      </c>
      <c r="AJ5" s="197" t="s">
        <v>119</v>
      </c>
      <c r="AK5" s="197" t="s">
        <v>13</v>
      </c>
      <c r="AL5" s="197" t="s">
        <v>117</v>
      </c>
      <c r="AM5" s="197" t="s">
        <v>119</v>
      </c>
      <c r="AN5" s="197" t="s">
        <v>13</v>
      </c>
      <c r="AO5" s="197" t="s">
        <v>117</v>
      </c>
      <c r="AP5" s="197" t="s">
        <v>119</v>
      </c>
    </row>
    <row r="6" ht="21" customHeight="1" spans="1:42">
      <c r="A6" s="179" t="s">
        <v>13</v>
      </c>
      <c r="B6" s="180">
        <f t="shared" ref="B6:G6" si="0">B7+B16</f>
        <v>472779</v>
      </c>
      <c r="C6" s="180">
        <f t="shared" si="0"/>
        <v>325220.2</v>
      </c>
      <c r="D6" s="181">
        <v>9134</v>
      </c>
      <c r="E6" s="180">
        <f t="shared" si="0"/>
        <v>147558.8</v>
      </c>
      <c r="F6" s="180">
        <f t="shared" si="0"/>
        <v>237929</v>
      </c>
      <c r="G6" s="180">
        <f t="shared" si="0"/>
        <v>162522.2</v>
      </c>
      <c r="H6" s="181">
        <v>153416.2</v>
      </c>
      <c r="I6" s="181">
        <v>9134</v>
      </c>
      <c r="J6" s="181">
        <v>75423.8</v>
      </c>
      <c r="K6" s="180">
        <f t="shared" ref="K6:O6" si="1">K7+K16</f>
        <v>234850</v>
      </c>
      <c r="L6" s="180">
        <f t="shared" si="1"/>
        <v>162698</v>
      </c>
      <c r="M6" s="180">
        <f t="shared" si="1"/>
        <v>47706</v>
      </c>
      <c r="N6" s="180">
        <f t="shared" si="1"/>
        <v>114992</v>
      </c>
      <c r="O6" s="180">
        <f t="shared" si="1"/>
        <v>72152</v>
      </c>
      <c r="P6" s="198"/>
      <c r="Q6" s="198"/>
      <c r="R6" s="198"/>
      <c r="S6" s="198"/>
      <c r="T6" s="198"/>
      <c r="U6" s="198"/>
      <c r="V6" s="200">
        <f t="shared" ref="V6:V15" si="2">W6+X6</f>
        <v>154410</v>
      </c>
      <c r="W6" s="198">
        <f t="shared" ref="W6:AA6" si="3">W7+W16</f>
        <v>115957</v>
      </c>
      <c r="X6" s="198">
        <f t="shared" si="3"/>
        <v>38453</v>
      </c>
      <c r="Y6" s="200">
        <f>Z6+AA6</f>
        <v>4806</v>
      </c>
      <c r="Z6" s="198">
        <f t="shared" si="3"/>
        <v>3487</v>
      </c>
      <c r="AA6" s="198">
        <f t="shared" si="3"/>
        <v>1319</v>
      </c>
      <c r="AB6" s="200">
        <f>AC6+AD6</f>
        <v>5611</v>
      </c>
      <c r="AC6" s="198">
        <f t="shared" ref="AC6:AP6" si="4">AC7+AC16</f>
        <v>4181</v>
      </c>
      <c r="AD6" s="198">
        <f t="shared" si="4"/>
        <v>1430</v>
      </c>
      <c r="AE6" s="198">
        <f t="shared" si="4"/>
        <v>176</v>
      </c>
      <c r="AF6" s="198">
        <f t="shared" si="4"/>
        <v>122</v>
      </c>
      <c r="AG6" s="198">
        <f t="shared" si="4"/>
        <v>54</v>
      </c>
      <c r="AH6" s="198">
        <f t="shared" si="4"/>
        <v>37853</v>
      </c>
      <c r="AI6" s="198">
        <f t="shared" si="4"/>
        <v>22590</v>
      </c>
      <c r="AJ6" s="198">
        <f t="shared" si="4"/>
        <v>15263</v>
      </c>
      <c r="AK6" s="198">
        <f t="shared" si="4"/>
        <v>27329</v>
      </c>
      <c r="AL6" s="198">
        <f t="shared" si="4"/>
        <v>13628</v>
      </c>
      <c r="AM6" s="198">
        <f t="shared" si="4"/>
        <v>13701</v>
      </c>
      <c r="AN6" s="200">
        <f t="shared" si="4"/>
        <v>4665</v>
      </c>
      <c r="AO6" s="200">
        <f t="shared" si="4"/>
        <v>2733</v>
      </c>
      <c r="AP6" s="200">
        <f t="shared" si="4"/>
        <v>1932</v>
      </c>
    </row>
    <row r="7" ht="23.1" customHeight="1" spans="1:42">
      <c r="A7" s="182" t="s">
        <v>14</v>
      </c>
      <c r="B7" s="183">
        <f t="shared" ref="B7:H7" si="5">SUM(B8:B15)</f>
        <v>3132</v>
      </c>
      <c r="C7" s="183">
        <f t="shared" si="5"/>
        <v>1885</v>
      </c>
      <c r="D7" s="184"/>
      <c r="E7" s="183">
        <f t="shared" si="5"/>
        <v>1247</v>
      </c>
      <c r="F7" s="183">
        <f t="shared" si="5"/>
        <v>1480</v>
      </c>
      <c r="G7" s="183">
        <f t="shared" si="5"/>
        <v>890</v>
      </c>
      <c r="H7" s="183">
        <f t="shared" si="5"/>
        <v>890</v>
      </c>
      <c r="I7" s="184"/>
      <c r="J7" s="183">
        <f t="shared" ref="J7:O7" si="6">SUM(J8:J15)</f>
        <v>590</v>
      </c>
      <c r="K7" s="199">
        <f t="shared" si="6"/>
        <v>1652</v>
      </c>
      <c r="L7" s="199">
        <f t="shared" si="6"/>
        <v>995</v>
      </c>
      <c r="M7" s="199">
        <f t="shared" si="6"/>
        <v>995</v>
      </c>
      <c r="N7" s="199">
        <f t="shared" si="6"/>
        <v>0</v>
      </c>
      <c r="O7" s="199">
        <f t="shared" si="6"/>
        <v>657</v>
      </c>
      <c r="P7" s="200"/>
      <c r="Q7" s="200"/>
      <c r="R7" s="200"/>
      <c r="S7" s="200"/>
      <c r="T7" s="200"/>
      <c r="U7" s="200"/>
      <c r="V7" s="200">
        <f t="shared" ref="V7:AA7" si="7">SUM(V8:V15)</f>
        <v>1607</v>
      </c>
      <c r="W7" s="200">
        <f t="shared" si="7"/>
        <v>965</v>
      </c>
      <c r="X7" s="200">
        <f t="shared" si="7"/>
        <v>642</v>
      </c>
      <c r="Y7" s="200">
        <f t="shared" si="7"/>
        <v>45</v>
      </c>
      <c r="Z7" s="200">
        <f t="shared" si="7"/>
        <v>30</v>
      </c>
      <c r="AA7" s="200">
        <f t="shared" si="7"/>
        <v>15</v>
      </c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</row>
    <row r="8" ht="27" customHeight="1" spans="1:42">
      <c r="A8" s="185" t="s">
        <v>16</v>
      </c>
      <c r="B8" s="186">
        <f t="shared" ref="B8:B15" si="8">C8+E8</f>
        <v>47</v>
      </c>
      <c r="C8" s="186">
        <f t="shared" ref="C8:C15" si="9">H8+D8+L8</f>
        <v>28</v>
      </c>
      <c r="D8" s="187"/>
      <c r="E8" s="186">
        <f t="shared" ref="E8:E15" si="10">J8+O8</f>
        <v>19</v>
      </c>
      <c r="F8" s="187">
        <v>24</v>
      </c>
      <c r="G8" s="187">
        <v>14</v>
      </c>
      <c r="H8" s="187">
        <v>14</v>
      </c>
      <c r="I8" s="187"/>
      <c r="J8" s="187">
        <v>10</v>
      </c>
      <c r="K8" s="201">
        <f t="shared" ref="K8:K15" si="11">L8+O8</f>
        <v>23</v>
      </c>
      <c r="L8" s="201">
        <f t="shared" ref="L8:L15" si="12">W8+Z8+AC8+AF8+AI8+AL8+AO8</f>
        <v>14</v>
      </c>
      <c r="M8" s="201">
        <f t="shared" ref="M8:M15" si="13">W8+Z8+AC8+AF8+AI8+AL8+AO8</f>
        <v>14</v>
      </c>
      <c r="N8" s="201"/>
      <c r="O8" s="201">
        <f t="shared" ref="O8:O15" si="14">X8+AA8+AD8+AG8+AJ8+AM8+AP8</f>
        <v>9</v>
      </c>
      <c r="P8" s="202"/>
      <c r="Q8" s="202"/>
      <c r="R8" s="202"/>
      <c r="S8" s="205" t="s">
        <v>16</v>
      </c>
      <c r="T8" s="202" t="b">
        <f t="shared" ref="T8:T71" si="15">S8=A8</f>
        <v>1</v>
      </c>
      <c r="U8" s="202"/>
      <c r="V8" s="202">
        <f t="shared" si="2"/>
        <v>23</v>
      </c>
      <c r="W8" s="202">
        <v>14</v>
      </c>
      <c r="X8" s="202">
        <v>9</v>
      </c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</row>
    <row r="9" ht="27" customHeight="1" spans="1:42">
      <c r="A9" s="185" t="s">
        <v>17</v>
      </c>
      <c r="B9" s="186">
        <f t="shared" si="8"/>
        <v>190</v>
      </c>
      <c r="C9" s="186">
        <f t="shared" si="9"/>
        <v>115</v>
      </c>
      <c r="D9" s="187"/>
      <c r="E9" s="186">
        <f t="shared" si="10"/>
        <v>75</v>
      </c>
      <c r="F9" s="187">
        <v>89</v>
      </c>
      <c r="G9" s="187">
        <v>54</v>
      </c>
      <c r="H9" s="187">
        <v>54</v>
      </c>
      <c r="I9" s="187"/>
      <c r="J9" s="187">
        <v>35</v>
      </c>
      <c r="K9" s="201">
        <f t="shared" si="11"/>
        <v>101</v>
      </c>
      <c r="L9" s="201">
        <f t="shared" si="12"/>
        <v>61</v>
      </c>
      <c r="M9" s="201">
        <f t="shared" si="13"/>
        <v>61</v>
      </c>
      <c r="N9" s="201"/>
      <c r="O9" s="201">
        <f t="shared" si="14"/>
        <v>40</v>
      </c>
      <c r="P9" s="202"/>
      <c r="Q9" s="202"/>
      <c r="R9" s="202"/>
      <c r="S9" s="205" t="s">
        <v>17</v>
      </c>
      <c r="T9" s="202" t="b">
        <f t="shared" si="15"/>
        <v>1</v>
      </c>
      <c r="U9" s="202"/>
      <c r="V9" s="202">
        <f t="shared" si="2"/>
        <v>101</v>
      </c>
      <c r="W9" s="202">
        <v>61</v>
      </c>
      <c r="X9" s="202">
        <v>40</v>
      </c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</row>
    <row r="10" ht="27" customHeight="1" spans="1:42">
      <c r="A10" s="185" t="s">
        <v>18</v>
      </c>
      <c r="B10" s="186">
        <f t="shared" si="8"/>
        <v>684</v>
      </c>
      <c r="C10" s="186">
        <f t="shared" si="9"/>
        <v>410</v>
      </c>
      <c r="D10" s="187"/>
      <c r="E10" s="186">
        <f t="shared" si="10"/>
        <v>274</v>
      </c>
      <c r="F10" s="187">
        <v>337</v>
      </c>
      <c r="G10" s="187">
        <v>202</v>
      </c>
      <c r="H10" s="187">
        <v>202</v>
      </c>
      <c r="I10" s="187"/>
      <c r="J10" s="187">
        <v>135</v>
      </c>
      <c r="K10" s="201">
        <f t="shared" si="11"/>
        <v>347</v>
      </c>
      <c r="L10" s="201">
        <f t="shared" si="12"/>
        <v>208</v>
      </c>
      <c r="M10" s="201">
        <f t="shared" si="13"/>
        <v>208</v>
      </c>
      <c r="N10" s="201"/>
      <c r="O10" s="201">
        <f t="shared" si="14"/>
        <v>139</v>
      </c>
      <c r="P10" s="202"/>
      <c r="Q10" s="202"/>
      <c r="R10" s="202"/>
      <c r="S10" s="205" t="s">
        <v>18</v>
      </c>
      <c r="T10" s="202" t="b">
        <f t="shared" si="15"/>
        <v>1</v>
      </c>
      <c r="U10" s="202"/>
      <c r="V10" s="202">
        <f t="shared" si="2"/>
        <v>347</v>
      </c>
      <c r="W10" s="202">
        <v>208</v>
      </c>
      <c r="X10" s="202">
        <v>139</v>
      </c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</row>
    <row r="11" ht="27" customHeight="1" spans="1:42">
      <c r="A11" s="185" t="s">
        <v>19</v>
      </c>
      <c r="B11" s="186">
        <f t="shared" si="8"/>
        <v>1099</v>
      </c>
      <c r="C11" s="186">
        <f t="shared" si="9"/>
        <v>660</v>
      </c>
      <c r="D11" s="187"/>
      <c r="E11" s="186">
        <f t="shared" si="10"/>
        <v>439</v>
      </c>
      <c r="F11" s="187">
        <v>541</v>
      </c>
      <c r="G11" s="187">
        <v>325</v>
      </c>
      <c r="H11" s="187">
        <v>325</v>
      </c>
      <c r="I11" s="187"/>
      <c r="J11" s="187">
        <v>216</v>
      </c>
      <c r="K11" s="201">
        <f t="shared" si="11"/>
        <v>558</v>
      </c>
      <c r="L11" s="201">
        <f t="shared" si="12"/>
        <v>335</v>
      </c>
      <c r="M11" s="201">
        <f t="shared" si="13"/>
        <v>335</v>
      </c>
      <c r="N11" s="201"/>
      <c r="O11" s="201">
        <f t="shared" si="14"/>
        <v>223</v>
      </c>
      <c r="P11" s="202"/>
      <c r="Q11" s="202"/>
      <c r="R11" s="202"/>
      <c r="S11" s="205" t="s">
        <v>19</v>
      </c>
      <c r="T11" s="202" t="b">
        <f t="shared" si="15"/>
        <v>1</v>
      </c>
      <c r="U11" s="202"/>
      <c r="V11" s="202">
        <f t="shared" si="2"/>
        <v>558</v>
      </c>
      <c r="W11" s="202">
        <v>335</v>
      </c>
      <c r="X11" s="202">
        <v>223</v>
      </c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</row>
    <row r="12" ht="27" customHeight="1" spans="1:42">
      <c r="A12" s="185" t="s">
        <v>20</v>
      </c>
      <c r="B12" s="186">
        <f t="shared" si="8"/>
        <v>518</v>
      </c>
      <c r="C12" s="186">
        <f t="shared" si="9"/>
        <v>311</v>
      </c>
      <c r="D12" s="187"/>
      <c r="E12" s="186">
        <f t="shared" si="10"/>
        <v>207</v>
      </c>
      <c r="F12" s="187">
        <v>233</v>
      </c>
      <c r="G12" s="187">
        <v>140</v>
      </c>
      <c r="H12" s="187">
        <v>140</v>
      </c>
      <c r="I12" s="187"/>
      <c r="J12" s="187">
        <v>93</v>
      </c>
      <c r="K12" s="201">
        <f t="shared" si="11"/>
        <v>285</v>
      </c>
      <c r="L12" s="201">
        <f t="shared" si="12"/>
        <v>171</v>
      </c>
      <c r="M12" s="201">
        <f t="shared" si="13"/>
        <v>171</v>
      </c>
      <c r="N12" s="201"/>
      <c r="O12" s="201">
        <f t="shared" si="14"/>
        <v>114</v>
      </c>
      <c r="P12" s="202"/>
      <c r="Q12" s="202"/>
      <c r="R12" s="202"/>
      <c r="S12" s="205" t="s">
        <v>20</v>
      </c>
      <c r="T12" s="202" t="b">
        <f t="shared" si="15"/>
        <v>1</v>
      </c>
      <c r="U12" s="202"/>
      <c r="V12" s="202">
        <f t="shared" si="2"/>
        <v>285</v>
      </c>
      <c r="W12" s="202">
        <v>171</v>
      </c>
      <c r="X12" s="202">
        <v>114</v>
      </c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</row>
    <row r="13" ht="27" customHeight="1" spans="1:42">
      <c r="A13" s="185" t="s">
        <v>21</v>
      </c>
      <c r="B13" s="186">
        <f t="shared" si="8"/>
        <v>58</v>
      </c>
      <c r="C13" s="186">
        <f t="shared" si="9"/>
        <v>35</v>
      </c>
      <c r="D13" s="187"/>
      <c r="E13" s="186">
        <f t="shared" si="10"/>
        <v>23</v>
      </c>
      <c r="F13" s="187">
        <v>28</v>
      </c>
      <c r="G13" s="187">
        <v>17</v>
      </c>
      <c r="H13" s="187">
        <v>17</v>
      </c>
      <c r="I13" s="187"/>
      <c r="J13" s="187">
        <v>11</v>
      </c>
      <c r="K13" s="201">
        <f t="shared" si="11"/>
        <v>30</v>
      </c>
      <c r="L13" s="201">
        <f t="shared" si="12"/>
        <v>18</v>
      </c>
      <c r="M13" s="201">
        <f t="shared" si="13"/>
        <v>18</v>
      </c>
      <c r="N13" s="201"/>
      <c r="O13" s="201">
        <f t="shared" si="14"/>
        <v>12</v>
      </c>
      <c r="P13" s="202"/>
      <c r="Q13" s="202"/>
      <c r="R13" s="202"/>
      <c r="S13" s="205" t="s">
        <v>21</v>
      </c>
      <c r="T13" s="202" t="b">
        <f t="shared" si="15"/>
        <v>1</v>
      </c>
      <c r="U13" s="202"/>
      <c r="V13" s="202">
        <f t="shared" si="2"/>
        <v>30</v>
      </c>
      <c r="W13" s="202">
        <v>18</v>
      </c>
      <c r="X13" s="202">
        <v>12</v>
      </c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</row>
    <row r="14" ht="27" customHeight="1" spans="1:42">
      <c r="A14" s="185" t="s">
        <v>22</v>
      </c>
      <c r="B14" s="186">
        <f t="shared" si="8"/>
        <v>369</v>
      </c>
      <c r="C14" s="186">
        <f t="shared" si="9"/>
        <v>222</v>
      </c>
      <c r="D14" s="187"/>
      <c r="E14" s="186">
        <f t="shared" si="10"/>
        <v>147</v>
      </c>
      <c r="F14" s="187">
        <v>166</v>
      </c>
      <c r="G14" s="187">
        <v>100</v>
      </c>
      <c r="H14" s="187">
        <v>100</v>
      </c>
      <c r="I14" s="187"/>
      <c r="J14" s="187">
        <v>66</v>
      </c>
      <c r="K14" s="201">
        <f t="shared" si="11"/>
        <v>203</v>
      </c>
      <c r="L14" s="201">
        <f t="shared" si="12"/>
        <v>122</v>
      </c>
      <c r="M14" s="201">
        <f t="shared" si="13"/>
        <v>122</v>
      </c>
      <c r="N14" s="201"/>
      <c r="O14" s="201">
        <f t="shared" si="14"/>
        <v>81</v>
      </c>
      <c r="P14" s="202"/>
      <c r="Q14" s="202"/>
      <c r="R14" s="202"/>
      <c r="S14" s="205" t="s">
        <v>22</v>
      </c>
      <c r="T14" s="202" t="b">
        <f t="shared" si="15"/>
        <v>1</v>
      </c>
      <c r="U14" s="202"/>
      <c r="V14" s="202">
        <f t="shared" si="2"/>
        <v>203</v>
      </c>
      <c r="W14" s="202">
        <v>122</v>
      </c>
      <c r="X14" s="202">
        <v>81</v>
      </c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</row>
    <row r="15" ht="27" customHeight="1" spans="1:42">
      <c r="A15" s="185" t="s">
        <v>23</v>
      </c>
      <c r="B15" s="186">
        <f t="shared" si="8"/>
        <v>167</v>
      </c>
      <c r="C15" s="186">
        <f t="shared" si="9"/>
        <v>104</v>
      </c>
      <c r="D15" s="187"/>
      <c r="E15" s="186">
        <f t="shared" si="10"/>
        <v>63</v>
      </c>
      <c r="F15" s="187">
        <v>62</v>
      </c>
      <c r="G15" s="187">
        <v>38</v>
      </c>
      <c r="H15" s="187">
        <v>38</v>
      </c>
      <c r="I15" s="187"/>
      <c r="J15" s="187">
        <v>24</v>
      </c>
      <c r="K15" s="201">
        <f t="shared" si="11"/>
        <v>105</v>
      </c>
      <c r="L15" s="201">
        <f t="shared" si="12"/>
        <v>66</v>
      </c>
      <c r="M15" s="201">
        <f t="shared" si="13"/>
        <v>66</v>
      </c>
      <c r="N15" s="201"/>
      <c r="O15" s="201">
        <f t="shared" si="14"/>
        <v>39</v>
      </c>
      <c r="P15" s="202"/>
      <c r="Q15" s="202"/>
      <c r="R15" s="202"/>
      <c r="S15" s="205" t="s">
        <v>23</v>
      </c>
      <c r="T15" s="202" t="b">
        <f t="shared" si="15"/>
        <v>1</v>
      </c>
      <c r="U15" s="202"/>
      <c r="V15" s="202">
        <f t="shared" si="2"/>
        <v>60</v>
      </c>
      <c r="W15" s="202">
        <v>36</v>
      </c>
      <c r="X15" s="202">
        <v>24</v>
      </c>
      <c r="Y15" s="202">
        <f t="shared" ref="Y15:Y79" si="16">Z15+AA15</f>
        <v>45</v>
      </c>
      <c r="Z15" s="202">
        <v>30</v>
      </c>
      <c r="AA15" s="202">
        <v>15</v>
      </c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</row>
    <row r="16" s="166" customFormat="1" ht="23.1" customHeight="1" spans="1:42">
      <c r="A16" s="182" t="s">
        <v>24</v>
      </c>
      <c r="B16" s="181">
        <f t="shared" ref="B16:O16" si="17">SUM(B17,B31:B34,B42:B47,B51:B55,B60:B62,B66:B71,B75:B79,B82:B86,B89:B93,B103)</f>
        <v>469647</v>
      </c>
      <c r="C16" s="181">
        <f t="shared" si="17"/>
        <v>323335.2</v>
      </c>
      <c r="D16" s="181">
        <f t="shared" si="17"/>
        <v>9134</v>
      </c>
      <c r="E16" s="181">
        <f t="shared" si="17"/>
        <v>146311.8</v>
      </c>
      <c r="F16" s="184">
        <f t="shared" si="17"/>
        <v>236449</v>
      </c>
      <c r="G16" s="184">
        <f t="shared" si="17"/>
        <v>161632.2</v>
      </c>
      <c r="H16" s="184">
        <f t="shared" si="17"/>
        <v>152498.2</v>
      </c>
      <c r="I16" s="181">
        <f t="shared" si="17"/>
        <v>9134</v>
      </c>
      <c r="J16" s="184">
        <f t="shared" si="17"/>
        <v>74816.8</v>
      </c>
      <c r="K16" s="199">
        <f t="shared" si="17"/>
        <v>233198</v>
      </c>
      <c r="L16" s="199">
        <f t="shared" si="17"/>
        <v>161703</v>
      </c>
      <c r="M16" s="199">
        <f t="shared" si="17"/>
        <v>46711</v>
      </c>
      <c r="N16" s="199">
        <f t="shared" si="17"/>
        <v>114992</v>
      </c>
      <c r="O16" s="199">
        <f t="shared" si="17"/>
        <v>71495</v>
      </c>
      <c r="P16" s="200"/>
      <c r="Q16" s="200"/>
      <c r="R16" s="200"/>
      <c r="S16" s="200" t="s">
        <v>24</v>
      </c>
      <c r="T16" s="200" t="b">
        <f t="shared" si="15"/>
        <v>1</v>
      </c>
      <c r="U16" s="200"/>
      <c r="V16" s="200">
        <f t="shared" ref="V16:AP16" si="18">SUM(V17,V31:V34,V42:V47,V51:V55,V60:V62,V66:V71,V75:V79,V82:V86,V89:V93,V103)</f>
        <v>152803</v>
      </c>
      <c r="W16" s="183">
        <f t="shared" si="18"/>
        <v>114992</v>
      </c>
      <c r="X16" s="200">
        <f t="shared" si="18"/>
        <v>37811</v>
      </c>
      <c r="Y16" s="200">
        <f t="shared" si="18"/>
        <v>4761</v>
      </c>
      <c r="Z16" s="200">
        <f t="shared" si="18"/>
        <v>3457</v>
      </c>
      <c r="AA16" s="200">
        <f t="shared" si="18"/>
        <v>1304</v>
      </c>
      <c r="AB16" s="200">
        <f t="shared" si="18"/>
        <v>5611</v>
      </c>
      <c r="AC16" s="200">
        <f t="shared" si="18"/>
        <v>4181</v>
      </c>
      <c r="AD16" s="200">
        <f t="shared" si="18"/>
        <v>1430</v>
      </c>
      <c r="AE16" s="200">
        <f t="shared" si="18"/>
        <v>176</v>
      </c>
      <c r="AF16" s="200">
        <f t="shared" si="18"/>
        <v>122</v>
      </c>
      <c r="AG16" s="200">
        <f t="shared" si="18"/>
        <v>54</v>
      </c>
      <c r="AH16" s="200">
        <f t="shared" si="18"/>
        <v>37853</v>
      </c>
      <c r="AI16" s="200">
        <f t="shared" si="18"/>
        <v>22590</v>
      </c>
      <c r="AJ16" s="200">
        <f t="shared" si="18"/>
        <v>15263</v>
      </c>
      <c r="AK16" s="200">
        <f t="shared" si="18"/>
        <v>27329</v>
      </c>
      <c r="AL16" s="200">
        <f t="shared" si="18"/>
        <v>13628</v>
      </c>
      <c r="AM16" s="200">
        <f t="shared" si="18"/>
        <v>13701</v>
      </c>
      <c r="AN16" s="200">
        <f t="shared" si="18"/>
        <v>4665</v>
      </c>
      <c r="AO16" s="200">
        <f t="shared" si="18"/>
        <v>2733</v>
      </c>
      <c r="AP16" s="200">
        <f t="shared" si="18"/>
        <v>1932</v>
      </c>
    </row>
    <row r="17" ht="17" customHeight="1" spans="1:42">
      <c r="A17" s="188" t="s">
        <v>25</v>
      </c>
      <c r="B17" s="189">
        <f t="shared" ref="B17:B80" si="19">C17+E17</f>
        <v>69280.5</v>
      </c>
      <c r="C17" s="189">
        <f t="shared" ref="C17:C80" si="20">H17+D17+L17</f>
        <v>46992.1</v>
      </c>
      <c r="D17" s="190">
        <v>1757</v>
      </c>
      <c r="E17" s="189">
        <f t="shared" ref="E17:E80" si="21">J17+O17</f>
        <v>22288.4</v>
      </c>
      <c r="F17" s="181">
        <f t="shared" ref="F17:F80" si="22">G17+J17</f>
        <v>34710.1</v>
      </c>
      <c r="G17" s="189">
        <f t="shared" ref="G17:G80" si="23">H17+I17</f>
        <v>23043.7</v>
      </c>
      <c r="H17" s="190">
        <v>21286.7</v>
      </c>
      <c r="I17" s="190">
        <v>1757</v>
      </c>
      <c r="J17" s="190">
        <v>11666.4</v>
      </c>
      <c r="K17" s="199">
        <f t="shared" ref="K17:K80" si="24">L17+O17</f>
        <v>34570.4</v>
      </c>
      <c r="L17" s="199">
        <f t="shared" ref="L17:L80" si="25">W17+Z17+AC17+AF17+AI17+AL17+AO17</f>
        <v>23948.4</v>
      </c>
      <c r="M17" s="199">
        <f>SUM(M18:M30)</f>
        <v>3725.4</v>
      </c>
      <c r="N17" s="199">
        <f>SUM(N18:N30)</f>
        <v>20223</v>
      </c>
      <c r="O17" s="199">
        <f t="shared" ref="O17:O80" si="26">X17+AA17+AD17+AG17+AJ17+AM17+AP17</f>
        <v>10622</v>
      </c>
      <c r="P17" s="200"/>
      <c r="Q17" s="200"/>
      <c r="R17" s="200"/>
      <c r="S17" s="69" t="s">
        <v>25</v>
      </c>
      <c r="T17" s="202" t="b">
        <f t="shared" si="15"/>
        <v>1</v>
      </c>
      <c r="U17" s="202">
        <f t="shared" ref="U17:U80" si="27">AA17+AD17+AG17+AJ17+AM17+AP17</f>
        <v>3683</v>
      </c>
      <c r="V17" s="206">
        <f t="shared" ref="V17:V80" si="28">W17+X17</f>
        <v>27162</v>
      </c>
      <c r="W17" s="207">
        <v>20223</v>
      </c>
      <c r="X17" s="202">
        <v>6939</v>
      </c>
      <c r="Y17" s="206">
        <f t="shared" si="16"/>
        <v>209</v>
      </c>
      <c r="Z17" s="202">
        <v>143</v>
      </c>
      <c r="AA17" s="202">
        <v>66</v>
      </c>
      <c r="AB17" s="206">
        <f t="shared" ref="AB17:AB80" si="29">AC17+AD17</f>
        <v>812</v>
      </c>
      <c r="AC17" s="202">
        <v>595</v>
      </c>
      <c r="AD17" s="202">
        <v>217</v>
      </c>
      <c r="AE17" s="206">
        <f t="shared" ref="AE17:AE80" si="30">AF17+AG17</f>
        <v>11.4</v>
      </c>
      <c r="AF17" s="202">
        <v>7.4</v>
      </c>
      <c r="AG17" s="202">
        <v>4</v>
      </c>
      <c r="AH17" s="206">
        <f t="shared" ref="AH17:AH80" si="31">AI17+AJ17</f>
        <v>5016</v>
      </c>
      <c r="AI17" s="202">
        <v>2980</v>
      </c>
      <c r="AJ17" s="202">
        <v>2036</v>
      </c>
      <c r="AK17" s="206">
        <f t="shared" ref="AK17:AK80" si="32">AL17+AM17</f>
        <v>1360</v>
      </c>
      <c r="AL17" s="202">
        <v>0</v>
      </c>
      <c r="AM17" s="202">
        <v>1360</v>
      </c>
      <c r="AN17" s="206">
        <f t="shared" ref="AN17:AN80" si="33">AO17+AP17</f>
        <v>0</v>
      </c>
      <c r="AO17" s="202"/>
      <c r="AP17" s="202"/>
    </row>
    <row r="18" ht="17" customHeight="1" spans="1:42">
      <c r="A18" s="191" t="s">
        <v>26</v>
      </c>
      <c r="B18" s="186">
        <f t="shared" si="19"/>
        <v>3404.8</v>
      </c>
      <c r="C18" s="186">
        <f t="shared" si="20"/>
        <v>2429.4</v>
      </c>
      <c r="D18" s="186">
        <v>0</v>
      </c>
      <c r="E18" s="186">
        <f t="shared" si="21"/>
        <v>975.4</v>
      </c>
      <c r="F18" s="192">
        <f t="shared" si="22"/>
        <v>1706.1</v>
      </c>
      <c r="G18" s="186">
        <f t="shared" si="23"/>
        <v>1172.7</v>
      </c>
      <c r="H18" s="186">
        <v>1172.7</v>
      </c>
      <c r="I18" s="186">
        <v>0</v>
      </c>
      <c r="J18" s="186">
        <v>533.4</v>
      </c>
      <c r="K18" s="201">
        <f t="shared" si="24"/>
        <v>1698.7</v>
      </c>
      <c r="L18" s="201">
        <f t="shared" si="25"/>
        <v>1256.7</v>
      </c>
      <c r="M18" s="201">
        <f t="shared" ref="M18:M81" si="34">L18-N18</f>
        <v>69.7</v>
      </c>
      <c r="N18" s="201">
        <f t="shared" ref="N18:N81" si="35">W18</f>
        <v>1187</v>
      </c>
      <c r="O18" s="201">
        <f t="shared" si="26"/>
        <v>442</v>
      </c>
      <c r="P18" s="202"/>
      <c r="Q18" s="202"/>
      <c r="R18" s="202"/>
      <c r="S18" s="71" t="s">
        <v>26</v>
      </c>
      <c r="T18" s="202" t="b">
        <f t="shared" si="15"/>
        <v>1</v>
      </c>
      <c r="U18" s="202">
        <f t="shared" si="27"/>
        <v>34</v>
      </c>
      <c r="V18" s="206">
        <f t="shared" si="28"/>
        <v>1595</v>
      </c>
      <c r="W18" s="208">
        <v>1187</v>
      </c>
      <c r="X18" s="202">
        <v>408</v>
      </c>
      <c r="Y18" s="206">
        <f t="shared" si="16"/>
        <v>14</v>
      </c>
      <c r="Z18" s="202">
        <v>9</v>
      </c>
      <c r="AA18" s="202">
        <v>5</v>
      </c>
      <c r="AB18" s="206">
        <f t="shared" si="29"/>
        <v>53</v>
      </c>
      <c r="AC18" s="202">
        <v>39</v>
      </c>
      <c r="AD18" s="202">
        <v>14</v>
      </c>
      <c r="AE18" s="206">
        <f t="shared" si="30"/>
        <v>2.7</v>
      </c>
      <c r="AF18" s="202">
        <v>1.7</v>
      </c>
      <c r="AG18" s="202">
        <v>1</v>
      </c>
      <c r="AH18" s="206">
        <f t="shared" si="31"/>
        <v>34</v>
      </c>
      <c r="AI18" s="202">
        <v>20</v>
      </c>
      <c r="AJ18" s="202">
        <v>14</v>
      </c>
      <c r="AK18" s="206">
        <f t="shared" si="32"/>
        <v>0</v>
      </c>
      <c r="AL18" s="202">
        <v>0</v>
      </c>
      <c r="AM18" s="202">
        <v>0</v>
      </c>
      <c r="AN18" s="206">
        <f t="shared" si="33"/>
        <v>0</v>
      </c>
      <c r="AO18" s="202"/>
      <c r="AP18" s="202"/>
    </row>
    <row r="19" ht="17" customHeight="1" spans="1:42">
      <c r="A19" s="191" t="s">
        <v>27</v>
      </c>
      <c r="B19" s="186">
        <f t="shared" si="19"/>
        <v>4567.3</v>
      </c>
      <c r="C19" s="186">
        <f t="shared" si="20"/>
        <v>3055.3</v>
      </c>
      <c r="D19" s="186">
        <v>88</v>
      </c>
      <c r="E19" s="186">
        <f t="shared" si="21"/>
        <v>1512</v>
      </c>
      <c r="F19" s="192">
        <f t="shared" si="22"/>
        <v>2480</v>
      </c>
      <c r="G19" s="186">
        <f t="shared" si="23"/>
        <v>1508</v>
      </c>
      <c r="H19" s="186">
        <v>1420</v>
      </c>
      <c r="I19" s="186">
        <v>88</v>
      </c>
      <c r="J19" s="186">
        <v>972</v>
      </c>
      <c r="K19" s="201">
        <f t="shared" si="24"/>
        <v>2087.3</v>
      </c>
      <c r="L19" s="201">
        <f t="shared" si="25"/>
        <v>1547.3</v>
      </c>
      <c r="M19" s="201">
        <f t="shared" si="34"/>
        <v>71.3</v>
      </c>
      <c r="N19" s="201">
        <f t="shared" si="35"/>
        <v>1476</v>
      </c>
      <c r="O19" s="201">
        <f t="shared" si="26"/>
        <v>540</v>
      </c>
      <c r="P19" s="202"/>
      <c r="Q19" s="202"/>
      <c r="R19" s="202"/>
      <c r="S19" s="71" t="s">
        <v>27</v>
      </c>
      <c r="T19" s="202" t="b">
        <f t="shared" si="15"/>
        <v>1</v>
      </c>
      <c r="U19" s="202">
        <f t="shared" si="27"/>
        <v>29</v>
      </c>
      <c r="V19" s="206">
        <f t="shared" si="28"/>
        <v>1987</v>
      </c>
      <c r="W19" s="209">
        <v>1476</v>
      </c>
      <c r="X19" s="202">
        <v>511</v>
      </c>
      <c r="Y19" s="206">
        <f t="shared" si="16"/>
        <v>3</v>
      </c>
      <c r="Z19" s="202">
        <v>2</v>
      </c>
      <c r="AA19" s="202">
        <v>1</v>
      </c>
      <c r="AB19" s="206">
        <f t="shared" si="29"/>
        <v>82</v>
      </c>
      <c r="AC19" s="202">
        <v>60</v>
      </c>
      <c r="AD19" s="202">
        <v>22</v>
      </c>
      <c r="AE19" s="206">
        <f t="shared" si="30"/>
        <v>0.3</v>
      </c>
      <c r="AF19" s="202">
        <v>0.3</v>
      </c>
      <c r="AG19" s="202">
        <v>0</v>
      </c>
      <c r="AH19" s="206">
        <f t="shared" si="31"/>
        <v>15</v>
      </c>
      <c r="AI19" s="202">
        <v>9</v>
      </c>
      <c r="AJ19" s="202">
        <v>6</v>
      </c>
      <c r="AK19" s="206">
        <f t="shared" si="32"/>
        <v>0</v>
      </c>
      <c r="AL19" s="202">
        <v>0</v>
      </c>
      <c r="AM19" s="202">
        <v>0</v>
      </c>
      <c r="AN19" s="206">
        <f t="shared" si="33"/>
        <v>0</v>
      </c>
      <c r="AO19" s="202"/>
      <c r="AP19" s="202"/>
    </row>
    <row r="20" ht="17" customHeight="1" spans="1:42">
      <c r="A20" s="191" t="s">
        <v>28</v>
      </c>
      <c r="B20" s="186">
        <f t="shared" si="19"/>
        <v>6908.7</v>
      </c>
      <c r="C20" s="186">
        <f t="shared" si="20"/>
        <v>4680.7</v>
      </c>
      <c r="D20" s="186">
        <v>178</v>
      </c>
      <c r="E20" s="186">
        <f t="shared" si="21"/>
        <v>2228</v>
      </c>
      <c r="F20" s="192">
        <f t="shared" si="22"/>
        <v>3695</v>
      </c>
      <c r="G20" s="186">
        <f t="shared" si="23"/>
        <v>2312</v>
      </c>
      <c r="H20" s="186">
        <v>2134</v>
      </c>
      <c r="I20" s="186">
        <v>178</v>
      </c>
      <c r="J20" s="186">
        <v>1383</v>
      </c>
      <c r="K20" s="201">
        <f t="shared" si="24"/>
        <v>3213.7</v>
      </c>
      <c r="L20" s="201">
        <f t="shared" si="25"/>
        <v>2368.7</v>
      </c>
      <c r="M20" s="201">
        <f t="shared" si="34"/>
        <v>227.7</v>
      </c>
      <c r="N20" s="201">
        <f t="shared" si="35"/>
        <v>2141</v>
      </c>
      <c r="O20" s="201">
        <f t="shared" si="26"/>
        <v>845</v>
      </c>
      <c r="P20" s="202"/>
      <c r="Q20" s="202"/>
      <c r="R20" s="202"/>
      <c r="S20" s="71" t="s">
        <v>28</v>
      </c>
      <c r="T20" s="202" t="b">
        <f t="shared" si="15"/>
        <v>1</v>
      </c>
      <c r="U20" s="202">
        <f t="shared" si="27"/>
        <v>106</v>
      </c>
      <c r="V20" s="206">
        <f t="shared" si="28"/>
        <v>2880</v>
      </c>
      <c r="W20" s="209">
        <v>2141</v>
      </c>
      <c r="X20" s="202">
        <v>739</v>
      </c>
      <c r="Y20" s="206">
        <f t="shared" si="16"/>
        <v>10</v>
      </c>
      <c r="Z20" s="202">
        <v>7</v>
      </c>
      <c r="AA20" s="202">
        <v>3</v>
      </c>
      <c r="AB20" s="206">
        <f t="shared" si="29"/>
        <v>194</v>
      </c>
      <c r="AC20" s="202">
        <v>143</v>
      </c>
      <c r="AD20" s="202">
        <v>51</v>
      </c>
      <c r="AE20" s="206">
        <f t="shared" si="30"/>
        <v>2.7</v>
      </c>
      <c r="AF20" s="202">
        <v>1.7</v>
      </c>
      <c r="AG20" s="202">
        <v>1</v>
      </c>
      <c r="AH20" s="206">
        <f t="shared" si="31"/>
        <v>127</v>
      </c>
      <c r="AI20" s="202">
        <v>76</v>
      </c>
      <c r="AJ20" s="202">
        <v>51</v>
      </c>
      <c r="AK20" s="206">
        <f t="shared" si="32"/>
        <v>0</v>
      </c>
      <c r="AL20" s="202">
        <v>0</v>
      </c>
      <c r="AM20" s="202">
        <v>0</v>
      </c>
      <c r="AN20" s="206">
        <f t="shared" si="33"/>
        <v>0</v>
      </c>
      <c r="AO20" s="202"/>
      <c r="AP20" s="202"/>
    </row>
    <row r="21" ht="17" customHeight="1" spans="1:42">
      <c r="A21" s="191" t="s">
        <v>29</v>
      </c>
      <c r="B21" s="186">
        <f t="shared" si="19"/>
        <v>5485.3</v>
      </c>
      <c r="C21" s="186">
        <f t="shared" si="20"/>
        <v>3742.3</v>
      </c>
      <c r="D21" s="186">
        <v>39</v>
      </c>
      <c r="E21" s="186">
        <f t="shared" si="21"/>
        <v>1743</v>
      </c>
      <c r="F21" s="192">
        <f t="shared" si="22"/>
        <v>2926</v>
      </c>
      <c r="G21" s="186">
        <f t="shared" si="23"/>
        <v>1859</v>
      </c>
      <c r="H21" s="186">
        <v>1820</v>
      </c>
      <c r="I21" s="186">
        <v>39</v>
      </c>
      <c r="J21" s="186">
        <v>1067</v>
      </c>
      <c r="K21" s="201">
        <f t="shared" si="24"/>
        <v>2559.3</v>
      </c>
      <c r="L21" s="201">
        <f t="shared" si="25"/>
        <v>1883.3</v>
      </c>
      <c r="M21" s="201">
        <f t="shared" si="34"/>
        <v>113.3</v>
      </c>
      <c r="N21" s="201">
        <f t="shared" si="35"/>
        <v>1770</v>
      </c>
      <c r="O21" s="201">
        <f t="shared" si="26"/>
        <v>676</v>
      </c>
      <c r="P21" s="202"/>
      <c r="Q21" s="202"/>
      <c r="R21" s="202"/>
      <c r="S21" s="71" t="s">
        <v>29</v>
      </c>
      <c r="T21" s="202" t="b">
        <f t="shared" si="15"/>
        <v>1</v>
      </c>
      <c r="U21" s="202">
        <f t="shared" si="27"/>
        <v>65</v>
      </c>
      <c r="V21" s="206">
        <f t="shared" si="28"/>
        <v>2381</v>
      </c>
      <c r="W21" s="209">
        <v>1770</v>
      </c>
      <c r="X21" s="202">
        <v>611</v>
      </c>
      <c r="Y21" s="206">
        <f t="shared" si="16"/>
        <v>10</v>
      </c>
      <c r="Z21" s="202">
        <v>7</v>
      </c>
      <c r="AA21" s="202">
        <v>3</v>
      </c>
      <c r="AB21" s="206">
        <f t="shared" si="29"/>
        <v>41</v>
      </c>
      <c r="AC21" s="202">
        <v>30</v>
      </c>
      <c r="AD21" s="202">
        <v>11</v>
      </c>
      <c r="AE21" s="206">
        <f t="shared" si="30"/>
        <v>0.3</v>
      </c>
      <c r="AF21" s="202">
        <v>0.3</v>
      </c>
      <c r="AG21" s="202">
        <v>0</v>
      </c>
      <c r="AH21" s="206">
        <f t="shared" si="31"/>
        <v>127</v>
      </c>
      <c r="AI21" s="202">
        <v>76</v>
      </c>
      <c r="AJ21" s="202">
        <v>51</v>
      </c>
      <c r="AK21" s="206">
        <f t="shared" si="32"/>
        <v>0</v>
      </c>
      <c r="AL21" s="202">
        <v>0</v>
      </c>
      <c r="AM21" s="202">
        <v>0</v>
      </c>
      <c r="AN21" s="206">
        <f t="shared" si="33"/>
        <v>0</v>
      </c>
      <c r="AO21" s="202"/>
      <c r="AP21" s="202"/>
    </row>
    <row r="22" ht="17" customHeight="1" spans="1:42">
      <c r="A22" s="191" t="s">
        <v>30</v>
      </c>
      <c r="B22" s="186">
        <f t="shared" si="19"/>
        <v>6220</v>
      </c>
      <c r="C22" s="186">
        <f t="shared" si="20"/>
        <v>4305</v>
      </c>
      <c r="D22" s="186">
        <v>18</v>
      </c>
      <c r="E22" s="186">
        <f t="shared" si="21"/>
        <v>1915</v>
      </c>
      <c r="F22" s="192">
        <f t="shared" si="22"/>
        <v>3106</v>
      </c>
      <c r="G22" s="186">
        <f t="shared" si="23"/>
        <v>1993</v>
      </c>
      <c r="H22" s="186">
        <v>1975</v>
      </c>
      <c r="I22" s="186">
        <v>18</v>
      </c>
      <c r="J22" s="186">
        <v>1113</v>
      </c>
      <c r="K22" s="201">
        <f t="shared" si="24"/>
        <v>3114</v>
      </c>
      <c r="L22" s="201">
        <f t="shared" si="25"/>
        <v>2312</v>
      </c>
      <c r="M22" s="201">
        <f t="shared" si="34"/>
        <v>33</v>
      </c>
      <c r="N22" s="201">
        <f t="shared" si="35"/>
        <v>2279</v>
      </c>
      <c r="O22" s="201">
        <f t="shared" si="26"/>
        <v>802</v>
      </c>
      <c r="P22" s="202"/>
      <c r="Q22" s="202"/>
      <c r="R22" s="202"/>
      <c r="S22" s="71" t="s">
        <v>30</v>
      </c>
      <c r="T22" s="202" t="b">
        <f t="shared" si="15"/>
        <v>1</v>
      </c>
      <c r="U22" s="202">
        <f t="shared" si="27"/>
        <v>14</v>
      </c>
      <c r="V22" s="206">
        <f t="shared" si="28"/>
        <v>3067</v>
      </c>
      <c r="W22" s="209">
        <v>2279</v>
      </c>
      <c r="X22" s="202">
        <v>788</v>
      </c>
      <c r="Y22" s="206">
        <f t="shared" si="16"/>
        <v>6</v>
      </c>
      <c r="Z22" s="202">
        <v>4</v>
      </c>
      <c r="AA22" s="202">
        <v>2</v>
      </c>
      <c r="AB22" s="206">
        <f t="shared" si="29"/>
        <v>37</v>
      </c>
      <c r="AC22" s="202">
        <v>27</v>
      </c>
      <c r="AD22" s="202">
        <v>10</v>
      </c>
      <c r="AE22" s="206">
        <f t="shared" si="30"/>
        <v>0</v>
      </c>
      <c r="AF22" s="202">
        <v>0</v>
      </c>
      <c r="AG22" s="202">
        <v>0</v>
      </c>
      <c r="AH22" s="206">
        <f t="shared" si="31"/>
        <v>4</v>
      </c>
      <c r="AI22" s="202">
        <v>2</v>
      </c>
      <c r="AJ22" s="202">
        <v>2</v>
      </c>
      <c r="AK22" s="206">
        <f t="shared" si="32"/>
        <v>0</v>
      </c>
      <c r="AL22" s="202">
        <v>0</v>
      </c>
      <c r="AM22" s="202">
        <v>0</v>
      </c>
      <c r="AN22" s="206">
        <f t="shared" si="33"/>
        <v>0</v>
      </c>
      <c r="AO22" s="202"/>
      <c r="AP22" s="202"/>
    </row>
    <row r="23" ht="17" customHeight="1" spans="1:42">
      <c r="A23" s="191" t="s">
        <v>31</v>
      </c>
      <c r="B23" s="186">
        <f t="shared" si="19"/>
        <v>6249</v>
      </c>
      <c r="C23" s="186">
        <f t="shared" si="20"/>
        <v>4303</v>
      </c>
      <c r="D23" s="186">
        <v>158</v>
      </c>
      <c r="E23" s="186">
        <f t="shared" si="21"/>
        <v>1946</v>
      </c>
      <c r="F23" s="192">
        <f t="shared" si="22"/>
        <v>3279</v>
      </c>
      <c r="G23" s="186">
        <f t="shared" si="23"/>
        <v>2128</v>
      </c>
      <c r="H23" s="186">
        <v>1970</v>
      </c>
      <c r="I23" s="186">
        <v>158</v>
      </c>
      <c r="J23" s="186">
        <v>1151</v>
      </c>
      <c r="K23" s="201">
        <f t="shared" si="24"/>
        <v>2970</v>
      </c>
      <c r="L23" s="201">
        <f t="shared" si="25"/>
        <v>2175</v>
      </c>
      <c r="M23" s="201">
        <f t="shared" si="34"/>
        <v>181</v>
      </c>
      <c r="N23" s="201">
        <f t="shared" si="35"/>
        <v>1994</v>
      </c>
      <c r="O23" s="201">
        <f t="shared" si="26"/>
        <v>795</v>
      </c>
      <c r="P23" s="202"/>
      <c r="Q23" s="202"/>
      <c r="R23" s="202"/>
      <c r="S23" s="71" t="s">
        <v>31</v>
      </c>
      <c r="T23" s="202" t="b">
        <f t="shared" si="15"/>
        <v>1</v>
      </c>
      <c r="U23" s="202">
        <f t="shared" si="27"/>
        <v>107</v>
      </c>
      <c r="V23" s="206">
        <f t="shared" si="28"/>
        <v>2682</v>
      </c>
      <c r="W23" s="209">
        <v>1994</v>
      </c>
      <c r="X23" s="202">
        <v>688</v>
      </c>
      <c r="Y23" s="206">
        <f t="shared" si="16"/>
        <v>16</v>
      </c>
      <c r="Z23" s="202">
        <v>11</v>
      </c>
      <c r="AA23" s="202">
        <v>5</v>
      </c>
      <c r="AB23" s="206">
        <f t="shared" si="29"/>
        <v>56</v>
      </c>
      <c r="AC23" s="202">
        <v>41</v>
      </c>
      <c r="AD23" s="202">
        <v>15</v>
      </c>
      <c r="AE23" s="206">
        <f t="shared" si="30"/>
        <v>0</v>
      </c>
      <c r="AF23" s="202">
        <v>0</v>
      </c>
      <c r="AG23" s="202">
        <v>0</v>
      </c>
      <c r="AH23" s="206">
        <f t="shared" si="31"/>
        <v>216</v>
      </c>
      <c r="AI23" s="202">
        <v>129</v>
      </c>
      <c r="AJ23" s="202">
        <v>87</v>
      </c>
      <c r="AK23" s="206">
        <f t="shared" si="32"/>
        <v>0</v>
      </c>
      <c r="AL23" s="202">
        <v>0</v>
      </c>
      <c r="AM23" s="202">
        <v>0</v>
      </c>
      <c r="AN23" s="206">
        <f t="shared" si="33"/>
        <v>0</v>
      </c>
      <c r="AO23" s="202"/>
      <c r="AP23" s="202"/>
    </row>
    <row r="24" ht="17" customHeight="1" spans="1:42">
      <c r="A24" s="191" t="s">
        <v>32</v>
      </c>
      <c r="B24" s="186">
        <f t="shared" si="19"/>
        <v>5206</v>
      </c>
      <c r="C24" s="186">
        <f t="shared" si="20"/>
        <v>3790</v>
      </c>
      <c r="D24" s="186">
        <v>399</v>
      </c>
      <c r="E24" s="186">
        <f t="shared" si="21"/>
        <v>1416</v>
      </c>
      <c r="F24" s="192">
        <f t="shared" si="22"/>
        <v>2430</v>
      </c>
      <c r="G24" s="186">
        <f t="shared" si="23"/>
        <v>1847</v>
      </c>
      <c r="H24" s="186">
        <v>1448</v>
      </c>
      <c r="I24" s="186">
        <v>399</v>
      </c>
      <c r="J24" s="186">
        <v>583</v>
      </c>
      <c r="K24" s="201">
        <f t="shared" si="24"/>
        <v>2776</v>
      </c>
      <c r="L24" s="201">
        <f t="shared" si="25"/>
        <v>1943</v>
      </c>
      <c r="M24" s="201">
        <f t="shared" si="34"/>
        <v>449</v>
      </c>
      <c r="N24" s="201">
        <f t="shared" si="35"/>
        <v>1494</v>
      </c>
      <c r="O24" s="201">
        <f t="shared" si="26"/>
        <v>833</v>
      </c>
      <c r="P24" s="202"/>
      <c r="Q24" s="202"/>
      <c r="R24" s="202"/>
      <c r="S24" s="71" t="s">
        <v>32</v>
      </c>
      <c r="T24" s="202" t="b">
        <f t="shared" si="15"/>
        <v>1</v>
      </c>
      <c r="U24" s="202">
        <f t="shared" si="27"/>
        <v>325</v>
      </c>
      <c r="V24" s="206">
        <f t="shared" si="28"/>
        <v>2002</v>
      </c>
      <c r="W24" s="209">
        <v>1494</v>
      </c>
      <c r="X24" s="202">
        <v>508</v>
      </c>
      <c r="Y24" s="206">
        <f t="shared" si="16"/>
        <v>6</v>
      </c>
      <c r="Z24" s="202">
        <v>4</v>
      </c>
      <c r="AA24" s="202">
        <v>2</v>
      </c>
      <c r="AB24" s="206">
        <f t="shared" si="29"/>
        <v>14</v>
      </c>
      <c r="AC24" s="202">
        <v>10</v>
      </c>
      <c r="AD24" s="202">
        <v>4</v>
      </c>
      <c r="AE24" s="206">
        <f t="shared" si="30"/>
        <v>0</v>
      </c>
      <c r="AF24" s="202">
        <v>0</v>
      </c>
      <c r="AG24" s="202">
        <v>0</v>
      </c>
      <c r="AH24" s="206">
        <f t="shared" si="31"/>
        <v>754</v>
      </c>
      <c r="AI24" s="202">
        <v>435</v>
      </c>
      <c r="AJ24" s="202">
        <v>319</v>
      </c>
      <c r="AK24" s="206">
        <f t="shared" si="32"/>
        <v>0</v>
      </c>
      <c r="AL24" s="202">
        <v>0</v>
      </c>
      <c r="AM24" s="202">
        <v>0</v>
      </c>
      <c r="AN24" s="206">
        <f t="shared" si="33"/>
        <v>0</v>
      </c>
      <c r="AO24" s="202"/>
      <c r="AP24" s="202"/>
    </row>
    <row r="25" ht="17" customHeight="1" spans="1:42">
      <c r="A25" s="191" t="s">
        <v>33</v>
      </c>
      <c r="B25" s="186">
        <f t="shared" si="19"/>
        <v>3345</v>
      </c>
      <c r="C25" s="186">
        <f t="shared" si="20"/>
        <v>2431</v>
      </c>
      <c r="D25" s="186">
        <v>197</v>
      </c>
      <c r="E25" s="186">
        <f t="shared" si="21"/>
        <v>914</v>
      </c>
      <c r="F25" s="192">
        <f t="shared" si="22"/>
        <v>1617</v>
      </c>
      <c r="G25" s="186">
        <f t="shared" si="23"/>
        <v>1209</v>
      </c>
      <c r="H25" s="186">
        <v>1012</v>
      </c>
      <c r="I25" s="186">
        <v>197</v>
      </c>
      <c r="J25" s="186">
        <v>408</v>
      </c>
      <c r="K25" s="201">
        <f t="shared" si="24"/>
        <v>1728</v>
      </c>
      <c r="L25" s="201">
        <f t="shared" si="25"/>
        <v>1222</v>
      </c>
      <c r="M25" s="201">
        <f t="shared" si="34"/>
        <v>280</v>
      </c>
      <c r="N25" s="201">
        <f t="shared" si="35"/>
        <v>942</v>
      </c>
      <c r="O25" s="201">
        <f t="shared" si="26"/>
        <v>506</v>
      </c>
      <c r="P25" s="202"/>
      <c r="Q25" s="202"/>
      <c r="R25" s="202"/>
      <c r="S25" s="71" t="s">
        <v>33</v>
      </c>
      <c r="T25" s="202" t="b">
        <f t="shared" si="15"/>
        <v>1</v>
      </c>
      <c r="U25" s="202">
        <f t="shared" si="27"/>
        <v>185</v>
      </c>
      <c r="V25" s="206">
        <f t="shared" si="28"/>
        <v>1263</v>
      </c>
      <c r="W25" s="209">
        <v>942</v>
      </c>
      <c r="X25" s="202">
        <v>321</v>
      </c>
      <c r="Y25" s="206">
        <f t="shared" si="16"/>
        <v>3</v>
      </c>
      <c r="Z25" s="202">
        <v>2</v>
      </c>
      <c r="AA25" s="202">
        <v>1</v>
      </c>
      <c r="AB25" s="206">
        <f t="shared" si="29"/>
        <v>15</v>
      </c>
      <c r="AC25" s="202">
        <v>11</v>
      </c>
      <c r="AD25" s="202">
        <v>4</v>
      </c>
      <c r="AE25" s="206">
        <f t="shared" si="30"/>
        <v>0</v>
      </c>
      <c r="AF25" s="202">
        <v>0</v>
      </c>
      <c r="AG25" s="202">
        <v>0</v>
      </c>
      <c r="AH25" s="206">
        <f t="shared" si="31"/>
        <v>447</v>
      </c>
      <c r="AI25" s="202">
        <v>267</v>
      </c>
      <c r="AJ25" s="202">
        <v>180</v>
      </c>
      <c r="AK25" s="206">
        <f t="shared" si="32"/>
        <v>0</v>
      </c>
      <c r="AL25" s="202">
        <v>0</v>
      </c>
      <c r="AM25" s="202">
        <v>0</v>
      </c>
      <c r="AN25" s="206">
        <f t="shared" si="33"/>
        <v>0</v>
      </c>
      <c r="AO25" s="202"/>
      <c r="AP25" s="202"/>
    </row>
    <row r="26" ht="17" customHeight="1" spans="1:42">
      <c r="A26" s="191" t="s">
        <v>34</v>
      </c>
      <c r="B26" s="186">
        <f t="shared" si="19"/>
        <v>2759</v>
      </c>
      <c r="C26" s="186">
        <f t="shared" si="20"/>
        <v>2007</v>
      </c>
      <c r="D26" s="186">
        <v>141</v>
      </c>
      <c r="E26" s="186">
        <f t="shared" si="21"/>
        <v>752</v>
      </c>
      <c r="F26" s="192">
        <f t="shared" si="22"/>
        <v>1068</v>
      </c>
      <c r="G26" s="186">
        <f t="shared" si="23"/>
        <v>799</v>
      </c>
      <c r="H26" s="186">
        <v>658</v>
      </c>
      <c r="I26" s="186">
        <v>141</v>
      </c>
      <c r="J26" s="186">
        <v>269</v>
      </c>
      <c r="K26" s="201">
        <f t="shared" si="24"/>
        <v>1691</v>
      </c>
      <c r="L26" s="201">
        <f t="shared" si="25"/>
        <v>1208</v>
      </c>
      <c r="M26" s="201">
        <f t="shared" si="34"/>
        <v>220</v>
      </c>
      <c r="N26" s="201">
        <f t="shared" si="35"/>
        <v>988</v>
      </c>
      <c r="O26" s="201">
        <f t="shared" si="26"/>
        <v>483</v>
      </c>
      <c r="P26" s="202"/>
      <c r="Q26" s="202"/>
      <c r="R26" s="202"/>
      <c r="S26" s="71" t="s">
        <v>34</v>
      </c>
      <c r="T26" s="202" t="b">
        <f t="shared" si="15"/>
        <v>1</v>
      </c>
      <c r="U26" s="202">
        <f t="shared" si="27"/>
        <v>144</v>
      </c>
      <c r="V26" s="206">
        <f t="shared" si="28"/>
        <v>1327</v>
      </c>
      <c r="W26" s="209">
        <v>988</v>
      </c>
      <c r="X26" s="202">
        <v>339</v>
      </c>
      <c r="Y26" s="206">
        <f t="shared" si="16"/>
        <v>15</v>
      </c>
      <c r="Z26" s="202">
        <v>10</v>
      </c>
      <c r="AA26" s="202">
        <v>5</v>
      </c>
      <c r="AB26" s="206">
        <f t="shared" si="29"/>
        <v>13</v>
      </c>
      <c r="AC26" s="202">
        <v>9</v>
      </c>
      <c r="AD26" s="202">
        <v>4</v>
      </c>
      <c r="AE26" s="206">
        <f t="shared" si="30"/>
        <v>0</v>
      </c>
      <c r="AF26" s="202">
        <v>0</v>
      </c>
      <c r="AG26" s="202">
        <v>0</v>
      </c>
      <c r="AH26" s="206">
        <f t="shared" si="31"/>
        <v>336</v>
      </c>
      <c r="AI26" s="202">
        <v>201</v>
      </c>
      <c r="AJ26" s="202">
        <v>135</v>
      </c>
      <c r="AK26" s="206">
        <f t="shared" si="32"/>
        <v>0</v>
      </c>
      <c r="AL26" s="202">
        <v>0</v>
      </c>
      <c r="AM26" s="202">
        <v>0</v>
      </c>
      <c r="AN26" s="206">
        <f t="shared" si="33"/>
        <v>0</v>
      </c>
      <c r="AO26" s="202"/>
      <c r="AP26" s="202"/>
    </row>
    <row r="27" ht="17" customHeight="1" spans="1:42">
      <c r="A27" s="191" t="s">
        <v>35</v>
      </c>
      <c r="B27" s="186">
        <f t="shared" si="19"/>
        <v>4746</v>
      </c>
      <c r="C27" s="186">
        <f t="shared" si="20"/>
        <v>3390</v>
      </c>
      <c r="D27" s="186">
        <v>150</v>
      </c>
      <c r="E27" s="186">
        <f t="shared" si="21"/>
        <v>1356</v>
      </c>
      <c r="F27" s="192">
        <f t="shared" si="22"/>
        <v>2340</v>
      </c>
      <c r="G27" s="186">
        <f t="shared" si="23"/>
        <v>1700</v>
      </c>
      <c r="H27" s="186">
        <v>1550</v>
      </c>
      <c r="I27" s="186">
        <v>150</v>
      </c>
      <c r="J27" s="186">
        <v>640</v>
      </c>
      <c r="K27" s="201">
        <f t="shared" si="24"/>
        <v>2406</v>
      </c>
      <c r="L27" s="201">
        <f t="shared" si="25"/>
        <v>1690</v>
      </c>
      <c r="M27" s="201">
        <f t="shared" si="34"/>
        <v>434</v>
      </c>
      <c r="N27" s="201">
        <f t="shared" si="35"/>
        <v>1256</v>
      </c>
      <c r="O27" s="201">
        <f t="shared" si="26"/>
        <v>716</v>
      </c>
      <c r="P27" s="202"/>
      <c r="Q27" s="202"/>
      <c r="R27" s="202"/>
      <c r="S27" s="71" t="s">
        <v>35</v>
      </c>
      <c r="T27" s="202" t="b">
        <f t="shared" si="15"/>
        <v>1</v>
      </c>
      <c r="U27" s="202">
        <f t="shared" si="27"/>
        <v>289</v>
      </c>
      <c r="V27" s="206">
        <f t="shared" si="28"/>
        <v>1683</v>
      </c>
      <c r="W27" s="209">
        <v>1256</v>
      </c>
      <c r="X27" s="202">
        <v>427</v>
      </c>
      <c r="Y27" s="206">
        <f t="shared" si="16"/>
        <v>3</v>
      </c>
      <c r="Z27" s="202">
        <v>2</v>
      </c>
      <c r="AA27" s="202">
        <v>1</v>
      </c>
      <c r="AB27" s="206">
        <f t="shared" si="29"/>
        <v>18</v>
      </c>
      <c r="AC27" s="202">
        <v>13</v>
      </c>
      <c r="AD27" s="202">
        <v>5</v>
      </c>
      <c r="AE27" s="206">
        <f t="shared" si="30"/>
        <v>0</v>
      </c>
      <c r="AF27" s="202">
        <v>0</v>
      </c>
      <c r="AG27" s="202">
        <v>0</v>
      </c>
      <c r="AH27" s="206">
        <f t="shared" si="31"/>
        <v>702</v>
      </c>
      <c r="AI27" s="202">
        <v>419</v>
      </c>
      <c r="AJ27" s="202">
        <v>283</v>
      </c>
      <c r="AK27" s="206">
        <f t="shared" si="32"/>
        <v>0</v>
      </c>
      <c r="AL27" s="202">
        <v>0</v>
      </c>
      <c r="AM27" s="202">
        <v>0</v>
      </c>
      <c r="AN27" s="206">
        <f t="shared" si="33"/>
        <v>0</v>
      </c>
      <c r="AO27" s="202"/>
      <c r="AP27" s="202"/>
    </row>
    <row r="28" ht="17" customHeight="1" spans="1:42">
      <c r="A28" s="191" t="s">
        <v>36</v>
      </c>
      <c r="B28" s="186">
        <f t="shared" si="19"/>
        <v>522</v>
      </c>
      <c r="C28" s="186">
        <f t="shared" si="20"/>
        <v>371</v>
      </c>
      <c r="D28" s="186">
        <v>10</v>
      </c>
      <c r="E28" s="186">
        <f t="shared" si="21"/>
        <v>151</v>
      </c>
      <c r="F28" s="192">
        <f t="shared" si="22"/>
        <v>266</v>
      </c>
      <c r="G28" s="186">
        <f t="shared" si="23"/>
        <v>192</v>
      </c>
      <c r="H28" s="186">
        <v>182</v>
      </c>
      <c r="I28" s="186">
        <v>10</v>
      </c>
      <c r="J28" s="186">
        <v>74</v>
      </c>
      <c r="K28" s="201">
        <f t="shared" si="24"/>
        <v>256</v>
      </c>
      <c r="L28" s="201">
        <f t="shared" si="25"/>
        <v>179</v>
      </c>
      <c r="M28" s="201">
        <f t="shared" si="34"/>
        <v>52</v>
      </c>
      <c r="N28" s="201">
        <f t="shared" si="35"/>
        <v>127</v>
      </c>
      <c r="O28" s="201">
        <f t="shared" si="26"/>
        <v>77</v>
      </c>
      <c r="P28" s="202"/>
      <c r="Q28" s="202"/>
      <c r="R28" s="202"/>
      <c r="S28" s="71" t="s">
        <v>36</v>
      </c>
      <c r="T28" s="202" t="b">
        <f t="shared" si="15"/>
        <v>1</v>
      </c>
      <c r="U28" s="202">
        <f t="shared" si="27"/>
        <v>33</v>
      </c>
      <c r="V28" s="206">
        <f t="shared" si="28"/>
        <v>171</v>
      </c>
      <c r="W28" s="209">
        <v>127</v>
      </c>
      <c r="X28" s="202">
        <v>44</v>
      </c>
      <c r="Y28" s="206">
        <f t="shared" si="16"/>
        <v>3</v>
      </c>
      <c r="Z28" s="202">
        <v>2</v>
      </c>
      <c r="AA28" s="202">
        <v>1</v>
      </c>
      <c r="AB28" s="206">
        <f t="shared" si="29"/>
        <v>10</v>
      </c>
      <c r="AC28" s="202">
        <v>7</v>
      </c>
      <c r="AD28" s="202">
        <v>3</v>
      </c>
      <c r="AE28" s="206">
        <f t="shared" si="30"/>
        <v>0</v>
      </c>
      <c r="AF28" s="202">
        <v>0</v>
      </c>
      <c r="AG28" s="202">
        <v>0</v>
      </c>
      <c r="AH28" s="206">
        <f t="shared" si="31"/>
        <v>72</v>
      </c>
      <c r="AI28" s="202">
        <v>43</v>
      </c>
      <c r="AJ28" s="202">
        <v>29</v>
      </c>
      <c r="AK28" s="206">
        <f t="shared" si="32"/>
        <v>0</v>
      </c>
      <c r="AL28" s="202">
        <v>0</v>
      </c>
      <c r="AM28" s="202">
        <v>0</v>
      </c>
      <c r="AN28" s="206">
        <f t="shared" si="33"/>
        <v>0</v>
      </c>
      <c r="AO28" s="202"/>
      <c r="AP28" s="202"/>
    </row>
    <row r="29" ht="17" customHeight="1" spans="1:42">
      <c r="A29" s="191" t="s">
        <v>38</v>
      </c>
      <c r="B29" s="186">
        <f t="shared" si="19"/>
        <v>12461.4</v>
      </c>
      <c r="C29" s="186">
        <f t="shared" si="20"/>
        <v>8006.8</v>
      </c>
      <c r="D29" s="186">
        <v>260</v>
      </c>
      <c r="E29" s="186">
        <f t="shared" si="21"/>
        <v>4454.6</v>
      </c>
      <c r="F29" s="192">
        <f t="shared" si="22"/>
        <v>6035.8</v>
      </c>
      <c r="G29" s="186">
        <f t="shared" si="23"/>
        <v>4054.2</v>
      </c>
      <c r="H29" s="186">
        <v>3794.2</v>
      </c>
      <c r="I29" s="186">
        <v>260</v>
      </c>
      <c r="J29" s="186">
        <v>1981.6</v>
      </c>
      <c r="K29" s="201">
        <f t="shared" si="24"/>
        <v>6425.6</v>
      </c>
      <c r="L29" s="201">
        <f t="shared" si="25"/>
        <v>3952.6</v>
      </c>
      <c r="M29" s="201">
        <f t="shared" si="34"/>
        <v>1008.6</v>
      </c>
      <c r="N29" s="201">
        <f t="shared" si="35"/>
        <v>2944</v>
      </c>
      <c r="O29" s="201">
        <f t="shared" si="26"/>
        <v>2473</v>
      </c>
      <c r="P29" s="202"/>
      <c r="Q29" s="202"/>
      <c r="R29" s="202"/>
      <c r="S29" s="71" t="s">
        <v>38</v>
      </c>
      <c r="T29" s="202" t="b">
        <f t="shared" si="15"/>
        <v>1</v>
      </c>
      <c r="U29" s="202">
        <f t="shared" si="27"/>
        <v>1472</v>
      </c>
      <c r="V29" s="206">
        <f t="shared" si="28"/>
        <v>3945</v>
      </c>
      <c r="W29" s="209">
        <v>2944</v>
      </c>
      <c r="X29" s="202">
        <v>1001</v>
      </c>
      <c r="Y29" s="206">
        <f t="shared" si="16"/>
        <v>46</v>
      </c>
      <c r="Z29" s="202">
        <v>32</v>
      </c>
      <c r="AA29" s="202">
        <v>14</v>
      </c>
      <c r="AB29" s="206">
        <f t="shared" si="29"/>
        <v>177</v>
      </c>
      <c r="AC29" s="202">
        <v>130</v>
      </c>
      <c r="AD29" s="202">
        <v>47</v>
      </c>
      <c r="AE29" s="206">
        <f t="shared" si="30"/>
        <v>2.6</v>
      </c>
      <c r="AF29" s="202">
        <v>1.6</v>
      </c>
      <c r="AG29" s="202">
        <v>1</v>
      </c>
      <c r="AH29" s="206">
        <f t="shared" si="31"/>
        <v>1415</v>
      </c>
      <c r="AI29" s="202">
        <v>845</v>
      </c>
      <c r="AJ29" s="202">
        <v>570</v>
      </c>
      <c r="AK29" s="206">
        <f t="shared" si="32"/>
        <v>840</v>
      </c>
      <c r="AL29" s="202">
        <v>0</v>
      </c>
      <c r="AM29" s="202">
        <v>840</v>
      </c>
      <c r="AN29" s="206">
        <f t="shared" si="33"/>
        <v>0</v>
      </c>
      <c r="AO29" s="202"/>
      <c r="AP29" s="202"/>
    </row>
    <row r="30" ht="17" customHeight="1" spans="1:42">
      <c r="A30" s="191" t="s">
        <v>39</v>
      </c>
      <c r="B30" s="186">
        <f t="shared" si="19"/>
        <v>7406</v>
      </c>
      <c r="C30" s="186">
        <f t="shared" si="20"/>
        <v>4480.6</v>
      </c>
      <c r="D30" s="186">
        <v>119</v>
      </c>
      <c r="E30" s="186">
        <f t="shared" si="21"/>
        <v>2925.4</v>
      </c>
      <c r="F30" s="192">
        <f t="shared" si="22"/>
        <v>3761.2</v>
      </c>
      <c r="G30" s="186">
        <f t="shared" si="23"/>
        <v>2269.8</v>
      </c>
      <c r="H30" s="186">
        <v>2150.8</v>
      </c>
      <c r="I30" s="186">
        <v>119</v>
      </c>
      <c r="J30" s="186">
        <v>1491.4</v>
      </c>
      <c r="K30" s="201">
        <f t="shared" si="24"/>
        <v>3644.8</v>
      </c>
      <c r="L30" s="201">
        <f t="shared" si="25"/>
        <v>2210.8</v>
      </c>
      <c r="M30" s="201">
        <f t="shared" si="34"/>
        <v>585.8</v>
      </c>
      <c r="N30" s="201">
        <f t="shared" si="35"/>
        <v>1625</v>
      </c>
      <c r="O30" s="201">
        <f t="shared" si="26"/>
        <v>1434</v>
      </c>
      <c r="P30" s="202"/>
      <c r="Q30" s="202"/>
      <c r="R30" s="202"/>
      <c r="S30" s="71" t="s">
        <v>39</v>
      </c>
      <c r="T30" s="202" t="b">
        <f t="shared" si="15"/>
        <v>1</v>
      </c>
      <c r="U30" s="202">
        <f t="shared" si="27"/>
        <v>880</v>
      </c>
      <c r="V30" s="206">
        <f t="shared" si="28"/>
        <v>2179</v>
      </c>
      <c r="W30" s="209">
        <v>1625</v>
      </c>
      <c r="X30" s="202">
        <v>554</v>
      </c>
      <c r="Y30" s="206">
        <f t="shared" si="16"/>
        <v>74</v>
      </c>
      <c r="Z30" s="202">
        <v>51</v>
      </c>
      <c r="AA30" s="202">
        <v>23</v>
      </c>
      <c r="AB30" s="206">
        <f t="shared" si="29"/>
        <v>102</v>
      </c>
      <c r="AC30" s="202">
        <v>75</v>
      </c>
      <c r="AD30" s="202">
        <v>27</v>
      </c>
      <c r="AE30" s="206">
        <f t="shared" si="30"/>
        <v>2.8</v>
      </c>
      <c r="AF30" s="202">
        <v>1.8</v>
      </c>
      <c r="AG30" s="202">
        <v>1</v>
      </c>
      <c r="AH30" s="206">
        <f t="shared" si="31"/>
        <v>767</v>
      </c>
      <c r="AI30" s="202">
        <v>458</v>
      </c>
      <c r="AJ30" s="202">
        <v>309</v>
      </c>
      <c r="AK30" s="206">
        <f t="shared" si="32"/>
        <v>520</v>
      </c>
      <c r="AL30" s="202">
        <v>0</v>
      </c>
      <c r="AM30" s="202">
        <v>520</v>
      </c>
      <c r="AN30" s="206">
        <f t="shared" si="33"/>
        <v>0</v>
      </c>
      <c r="AO30" s="202"/>
      <c r="AP30" s="202"/>
    </row>
    <row r="31" ht="17" customHeight="1" spans="1:42">
      <c r="A31" s="191" t="s">
        <v>40</v>
      </c>
      <c r="B31" s="186">
        <f t="shared" si="19"/>
        <v>20456.9</v>
      </c>
      <c r="C31" s="186">
        <f t="shared" si="20"/>
        <v>15402.6</v>
      </c>
      <c r="D31" s="186">
        <v>590</v>
      </c>
      <c r="E31" s="186">
        <f t="shared" si="21"/>
        <v>5054.3</v>
      </c>
      <c r="F31" s="192">
        <f t="shared" si="22"/>
        <v>10054.9</v>
      </c>
      <c r="G31" s="186">
        <f t="shared" si="23"/>
        <v>7673.6</v>
      </c>
      <c r="H31" s="186">
        <v>7083.6</v>
      </c>
      <c r="I31" s="186">
        <v>590</v>
      </c>
      <c r="J31" s="186">
        <v>2381.3</v>
      </c>
      <c r="K31" s="201">
        <f t="shared" si="24"/>
        <v>10402</v>
      </c>
      <c r="L31" s="201">
        <f t="shared" si="25"/>
        <v>7729</v>
      </c>
      <c r="M31" s="201">
        <f t="shared" si="34"/>
        <v>2465</v>
      </c>
      <c r="N31" s="201">
        <f t="shared" si="35"/>
        <v>5264</v>
      </c>
      <c r="O31" s="201">
        <f t="shared" si="26"/>
        <v>2673</v>
      </c>
      <c r="P31" s="202"/>
      <c r="Q31" s="202"/>
      <c r="R31" s="202"/>
      <c r="S31" s="75" t="s">
        <v>40</v>
      </c>
      <c r="T31" s="202" t="b">
        <f t="shared" si="15"/>
        <v>1</v>
      </c>
      <c r="U31" s="202">
        <f t="shared" si="27"/>
        <v>880</v>
      </c>
      <c r="V31" s="206">
        <f t="shared" si="28"/>
        <v>7057</v>
      </c>
      <c r="W31" s="209">
        <v>5264</v>
      </c>
      <c r="X31" s="202">
        <v>1793</v>
      </c>
      <c r="Y31" s="206">
        <f t="shared" si="16"/>
        <v>221</v>
      </c>
      <c r="Z31" s="202">
        <v>153</v>
      </c>
      <c r="AA31" s="202">
        <v>68</v>
      </c>
      <c r="AB31" s="206">
        <f t="shared" si="29"/>
        <v>241</v>
      </c>
      <c r="AC31" s="202">
        <v>177</v>
      </c>
      <c r="AD31" s="202">
        <v>64</v>
      </c>
      <c r="AE31" s="206">
        <f t="shared" si="30"/>
        <v>9</v>
      </c>
      <c r="AF31" s="202">
        <v>6</v>
      </c>
      <c r="AG31" s="202">
        <v>3</v>
      </c>
      <c r="AH31" s="206">
        <f t="shared" si="31"/>
        <v>1764</v>
      </c>
      <c r="AI31" s="202">
        <v>1054</v>
      </c>
      <c r="AJ31" s="202">
        <v>710</v>
      </c>
      <c r="AK31" s="206">
        <f t="shared" si="32"/>
        <v>1110</v>
      </c>
      <c r="AL31" s="202">
        <v>1075</v>
      </c>
      <c r="AM31" s="202">
        <v>35</v>
      </c>
      <c r="AN31" s="206">
        <f t="shared" si="33"/>
        <v>0</v>
      </c>
      <c r="AO31" s="202"/>
      <c r="AP31" s="202"/>
    </row>
    <row r="32" ht="17" customHeight="1" spans="1:42">
      <c r="A32" s="191" t="s">
        <v>41</v>
      </c>
      <c r="B32" s="186">
        <f t="shared" si="19"/>
        <v>21286.6</v>
      </c>
      <c r="C32" s="186">
        <f t="shared" si="20"/>
        <v>13703.1</v>
      </c>
      <c r="D32" s="186">
        <v>361</v>
      </c>
      <c r="E32" s="186">
        <f t="shared" si="21"/>
        <v>7583.5</v>
      </c>
      <c r="F32" s="192">
        <f t="shared" si="22"/>
        <v>10383.7</v>
      </c>
      <c r="G32" s="186">
        <f t="shared" si="23"/>
        <v>6874.2</v>
      </c>
      <c r="H32" s="186">
        <v>6513.2</v>
      </c>
      <c r="I32" s="186">
        <v>361</v>
      </c>
      <c r="J32" s="186">
        <v>3509.5</v>
      </c>
      <c r="K32" s="201">
        <f t="shared" si="24"/>
        <v>10902.9</v>
      </c>
      <c r="L32" s="201">
        <f t="shared" si="25"/>
        <v>6828.9</v>
      </c>
      <c r="M32" s="201">
        <f t="shared" si="34"/>
        <v>1474.9</v>
      </c>
      <c r="N32" s="201">
        <f t="shared" si="35"/>
        <v>5354</v>
      </c>
      <c r="O32" s="201">
        <f t="shared" si="26"/>
        <v>4074</v>
      </c>
      <c r="P32" s="202"/>
      <c r="Q32" s="202"/>
      <c r="R32" s="202"/>
      <c r="S32" s="75" t="s">
        <v>41</v>
      </c>
      <c r="T32" s="202" t="b">
        <f t="shared" si="15"/>
        <v>1</v>
      </c>
      <c r="U32" s="202">
        <f t="shared" si="27"/>
        <v>2248</v>
      </c>
      <c r="V32" s="206">
        <f t="shared" si="28"/>
        <v>7180</v>
      </c>
      <c r="W32" s="209">
        <v>5354</v>
      </c>
      <c r="X32" s="202">
        <v>1826</v>
      </c>
      <c r="Y32" s="206">
        <f t="shared" si="16"/>
        <v>316</v>
      </c>
      <c r="Z32" s="202">
        <v>218</v>
      </c>
      <c r="AA32" s="202">
        <v>98</v>
      </c>
      <c r="AB32" s="206">
        <f t="shared" si="29"/>
        <v>263</v>
      </c>
      <c r="AC32" s="202">
        <v>194</v>
      </c>
      <c r="AD32" s="202">
        <v>69</v>
      </c>
      <c r="AE32" s="206">
        <f t="shared" si="30"/>
        <v>6.9</v>
      </c>
      <c r="AF32" s="202">
        <v>4.9</v>
      </c>
      <c r="AG32" s="202">
        <v>2</v>
      </c>
      <c r="AH32" s="206">
        <f t="shared" si="31"/>
        <v>1772</v>
      </c>
      <c r="AI32" s="202">
        <v>1058</v>
      </c>
      <c r="AJ32" s="202">
        <v>714</v>
      </c>
      <c r="AK32" s="206">
        <f t="shared" si="32"/>
        <v>1365</v>
      </c>
      <c r="AL32" s="202">
        <v>0</v>
      </c>
      <c r="AM32" s="202">
        <v>1365</v>
      </c>
      <c r="AN32" s="206">
        <f t="shared" si="33"/>
        <v>0</v>
      </c>
      <c r="AO32" s="202"/>
      <c r="AP32" s="202"/>
    </row>
    <row r="33" ht="17" customHeight="1" spans="1:42">
      <c r="A33" s="191" t="s">
        <v>42</v>
      </c>
      <c r="B33" s="186">
        <f t="shared" si="19"/>
        <v>16902</v>
      </c>
      <c r="C33" s="186">
        <f t="shared" si="20"/>
        <v>10688</v>
      </c>
      <c r="D33" s="186">
        <v>332</v>
      </c>
      <c r="E33" s="186">
        <f t="shared" si="21"/>
        <v>6214</v>
      </c>
      <c r="F33" s="192">
        <f t="shared" si="22"/>
        <v>8359</v>
      </c>
      <c r="G33" s="186">
        <f t="shared" si="23"/>
        <v>5343</v>
      </c>
      <c r="H33" s="186">
        <v>5011</v>
      </c>
      <c r="I33" s="186">
        <v>332</v>
      </c>
      <c r="J33" s="186">
        <v>3016</v>
      </c>
      <c r="K33" s="201">
        <f t="shared" si="24"/>
        <v>8543</v>
      </c>
      <c r="L33" s="201">
        <f t="shared" si="25"/>
        <v>5345</v>
      </c>
      <c r="M33" s="201">
        <f t="shared" si="34"/>
        <v>1205</v>
      </c>
      <c r="N33" s="201">
        <f t="shared" si="35"/>
        <v>4140</v>
      </c>
      <c r="O33" s="201">
        <f t="shared" si="26"/>
        <v>3198</v>
      </c>
      <c r="P33" s="202"/>
      <c r="Q33" s="202"/>
      <c r="R33" s="202"/>
      <c r="S33" s="75" t="s">
        <v>42</v>
      </c>
      <c r="T33" s="202" t="b">
        <f t="shared" si="15"/>
        <v>1</v>
      </c>
      <c r="U33" s="202">
        <f t="shared" si="27"/>
        <v>1787</v>
      </c>
      <c r="V33" s="206">
        <f t="shared" si="28"/>
        <v>5551</v>
      </c>
      <c r="W33" s="209">
        <v>4140</v>
      </c>
      <c r="X33" s="202">
        <v>1411</v>
      </c>
      <c r="Y33" s="206">
        <f t="shared" si="16"/>
        <v>241</v>
      </c>
      <c r="Z33" s="202">
        <v>166</v>
      </c>
      <c r="AA33" s="202">
        <v>75</v>
      </c>
      <c r="AB33" s="206">
        <f t="shared" si="29"/>
        <v>125</v>
      </c>
      <c r="AC33" s="202">
        <v>92</v>
      </c>
      <c r="AD33" s="202">
        <v>33</v>
      </c>
      <c r="AE33" s="206">
        <f t="shared" si="30"/>
        <v>6</v>
      </c>
      <c r="AF33" s="202">
        <v>4</v>
      </c>
      <c r="AG33" s="202">
        <v>2</v>
      </c>
      <c r="AH33" s="206">
        <f t="shared" si="31"/>
        <v>1579</v>
      </c>
      <c r="AI33" s="202">
        <v>943</v>
      </c>
      <c r="AJ33" s="202">
        <v>636</v>
      </c>
      <c r="AK33" s="206">
        <f t="shared" si="32"/>
        <v>1041</v>
      </c>
      <c r="AL33" s="202">
        <v>0</v>
      </c>
      <c r="AM33" s="202">
        <v>1041</v>
      </c>
      <c r="AN33" s="206">
        <f t="shared" si="33"/>
        <v>0</v>
      </c>
      <c r="AO33" s="202"/>
      <c r="AP33" s="202"/>
    </row>
    <row r="34" ht="17" customHeight="1" spans="1:42">
      <c r="A34" s="193" t="s">
        <v>44</v>
      </c>
      <c r="B34" s="189">
        <f t="shared" si="19"/>
        <v>21321.7</v>
      </c>
      <c r="C34" s="189">
        <f t="shared" si="20"/>
        <v>14570.2</v>
      </c>
      <c r="D34" s="189">
        <v>209</v>
      </c>
      <c r="E34" s="189">
        <f t="shared" si="21"/>
        <v>6751.5</v>
      </c>
      <c r="F34" s="192">
        <f t="shared" si="22"/>
        <v>11284.4</v>
      </c>
      <c r="G34" s="186">
        <f t="shared" si="23"/>
        <v>7221.9</v>
      </c>
      <c r="H34" s="189">
        <v>7012.9</v>
      </c>
      <c r="I34" s="189">
        <v>209</v>
      </c>
      <c r="J34" s="189">
        <v>4062.5</v>
      </c>
      <c r="K34" s="199">
        <f t="shared" si="24"/>
        <v>10037.3</v>
      </c>
      <c r="L34" s="199">
        <f t="shared" si="25"/>
        <v>7348.3</v>
      </c>
      <c r="M34" s="201">
        <f t="shared" si="34"/>
        <v>749.3</v>
      </c>
      <c r="N34" s="201">
        <f t="shared" si="35"/>
        <v>6599</v>
      </c>
      <c r="O34" s="199">
        <f t="shared" si="26"/>
        <v>2689</v>
      </c>
      <c r="P34" s="200"/>
      <c r="Q34" s="200"/>
      <c r="R34" s="200"/>
      <c r="S34" s="76" t="s">
        <v>44</v>
      </c>
      <c r="T34" s="202" t="b">
        <f t="shared" si="15"/>
        <v>1</v>
      </c>
      <c r="U34" s="202">
        <f t="shared" si="27"/>
        <v>415</v>
      </c>
      <c r="V34" s="206">
        <f t="shared" si="28"/>
        <v>8873</v>
      </c>
      <c r="W34" s="209">
        <v>6599</v>
      </c>
      <c r="X34" s="202">
        <v>2274</v>
      </c>
      <c r="Y34" s="206">
        <f t="shared" si="16"/>
        <v>83</v>
      </c>
      <c r="Z34" s="202">
        <v>57</v>
      </c>
      <c r="AA34" s="202">
        <v>26</v>
      </c>
      <c r="AB34" s="206">
        <f t="shared" si="29"/>
        <v>327</v>
      </c>
      <c r="AC34" s="202">
        <v>241</v>
      </c>
      <c r="AD34" s="202">
        <v>86</v>
      </c>
      <c r="AE34" s="206">
        <f t="shared" si="30"/>
        <v>8.3</v>
      </c>
      <c r="AF34" s="202">
        <v>6.3</v>
      </c>
      <c r="AG34" s="202">
        <v>2</v>
      </c>
      <c r="AH34" s="206">
        <f t="shared" si="31"/>
        <v>746</v>
      </c>
      <c r="AI34" s="202">
        <v>445</v>
      </c>
      <c r="AJ34" s="202">
        <v>301</v>
      </c>
      <c r="AK34" s="206">
        <f t="shared" si="32"/>
        <v>0</v>
      </c>
      <c r="AL34" s="202">
        <v>0</v>
      </c>
      <c r="AM34" s="202">
        <v>0</v>
      </c>
      <c r="AN34" s="206">
        <f t="shared" si="33"/>
        <v>0</v>
      </c>
      <c r="AO34" s="202"/>
      <c r="AP34" s="202"/>
    </row>
    <row r="35" ht="17" customHeight="1" spans="1:42">
      <c r="A35" s="191" t="s">
        <v>26</v>
      </c>
      <c r="B35" s="186">
        <f t="shared" si="19"/>
        <v>5909.9</v>
      </c>
      <c r="C35" s="186">
        <f t="shared" si="20"/>
        <v>4039.4</v>
      </c>
      <c r="D35" s="186">
        <v>0</v>
      </c>
      <c r="E35" s="186">
        <f t="shared" si="21"/>
        <v>1870.5</v>
      </c>
      <c r="F35" s="192">
        <f t="shared" si="22"/>
        <v>3111.4</v>
      </c>
      <c r="G35" s="186">
        <f t="shared" si="23"/>
        <v>1964.9</v>
      </c>
      <c r="H35" s="186">
        <v>1964.9</v>
      </c>
      <c r="I35" s="186">
        <v>0</v>
      </c>
      <c r="J35" s="186">
        <v>1146.5</v>
      </c>
      <c r="K35" s="201">
        <f t="shared" si="24"/>
        <v>2798.5</v>
      </c>
      <c r="L35" s="201">
        <f t="shared" si="25"/>
        <v>2074.5</v>
      </c>
      <c r="M35" s="201">
        <f t="shared" si="34"/>
        <v>111.5</v>
      </c>
      <c r="N35" s="201">
        <f t="shared" si="35"/>
        <v>1963</v>
      </c>
      <c r="O35" s="201">
        <f t="shared" si="26"/>
        <v>724</v>
      </c>
      <c r="P35" s="202"/>
      <c r="Q35" s="202"/>
      <c r="R35" s="202"/>
      <c r="S35" s="71" t="s">
        <v>26</v>
      </c>
      <c r="T35" s="202" t="b">
        <f t="shared" si="15"/>
        <v>1</v>
      </c>
      <c r="U35" s="202">
        <f t="shared" si="27"/>
        <v>46</v>
      </c>
      <c r="V35" s="206">
        <f t="shared" si="28"/>
        <v>2641</v>
      </c>
      <c r="W35" s="210">
        <v>1963</v>
      </c>
      <c r="X35" s="202">
        <v>678</v>
      </c>
      <c r="Y35" s="206">
        <f t="shared" si="16"/>
        <v>16</v>
      </c>
      <c r="Z35" s="202">
        <v>11</v>
      </c>
      <c r="AA35" s="202">
        <v>5</v>
      </c>
      <c r="AB35" s="206">
        <f t="shared" si="29"/>
        <v>114</v>
      </c>
      <c r="AC35" s="202">
        <v>84</v>
      </c>
      <c r="AD35" s="202">
        <v>30</v>
      </c>
      <c r="AE35" s="206">
        <f t="shared" si="30"/>
        <v>5.5</v>
      </c>
      <c r="AF35" s="202">
        <v>3.5</v>
      </c>
      <c r="AG35" s="202">
        <v>2</v>
      </c>
      <c r="AH35" s="206">
        <f t="shared" si="31"/>
        <v>22</v>
      </c>
      <c r="AI35" s="202">
        <v>13</v>
      </c>
      <c r="AJ35" s="202">
        <v>9</v>
      </c>
      <c r="AK35" s="206">
        <f t="shared" si="32"/>
        <v>0</v>
      </c>
      <c r="AL35" s="202">
        <v>0</v>
      </c>
      <c r="AM35" s="202">
        <v>0</v>
      </c>
      <c r="AN35" s="206">
        <f t="shared" si="33"/>
        <v>0</v>
      </c>
      <c r="AO35" s="202"/>
      <c r="AP35" s="202"/>
    </row>
    <row r="36" ht="17" customHeight="1" spans="1:42">
      <c r="A36" s="191" t="s">
        <v>45</v>
      </c>
      <c r="B36" s="186">
        <f t="shared" si="19"/>
        <v>4704</v>
      </c>
      <c r="C36" s="186">
        <f t="shared" si="20"/>
        <v>3188</v>
      </c>
      <c r="D36" s="186">
        <v>58</v>
      </c>
      <c r="E36" s="186">
        <f t="shared" si="21"/>
        <v>1516</v>
      </c>
      <c r="F36" s="192">
        <f t="shared" si="22"/>
        <v>2517</v>
      </c>
      <c r="G36" s="186">
        <f t="shared" si="23"/>
        <v>1586</v>
      </c>
      <c r="H36" s="186">
        <v>1528</v>
      </c>
      <c r="I36" s="186">
        <v>58</v>
      </c>
      <c r="J36" s="186">
        <v>931</v>
      </c>
      <c r="K36" s="201">
        <f t="shared" si="24"/>
        <v>2187</v>
      </c>
      <c r="L36" s="201">
        <f t="shared" si="25"/>
        <v>1602</v>
      </c>
      <c r="M36" s="201">
        <f t="shared" si="34"/>
        <v>176</v>
      </c>
      <c r="N36" s="201">
        <f t="shared" si="35"/>
        <v>1426</v>
      </c>
      <c r="O36" s="201">
        <f t="shared" si="26"/>
        <v>585</v>
      </c>
      <c r="P36" s="202"/>
      <c r="Q36" s="202"/>
      <c r="R36" s="202"/>
      <c r="S36" s="71" t="s">
        <v>45</v>
      </c>
      <c r="T36" s="202" t="b">
        <f t="shared" si="15"/>
        <v>1</v>
      </c>
      <c r="U36" s="202">
        <f t="shared" si="27"/>
        <v>94</v>
      </c>
      <c r="V36" s="206">
        <f t="shared" si="28"/>
        <v>1917</v>
      </c>
      <c r="W36" s="209">
        <v>1426</v>
      </c>
      <c r="X36" s="202">
        <v>491</v>
      </c>
      <c r="Y36" s="206">
        <f t="shared" si="16"/>
        <v>28</v>
      </c>
      <c r="Z36" s="202">
        <v>19</v>
      </c>
      <c r="AA36" s="202">
        <v>9</v>
      </c>
      <c r="AB36" s="206">
        <f t="shared" si="29"/>
        <v>87</v>
      </c>
      <c r="AC36" s="202">
        <v>64</v>
      </c>
      <c r="AD36" s="202">
        <v>23</v>
      </c>
      <c r="AE36" s="206">
        <f t="shared" si="30"/>
        <v>1</v>
      </c>
      <c r="AF36" s="202">
        <v>1</v>
      </c>
      <c r="AG36" s="202">
        <v>0</v>
      </c>
      <c r="AH36" s="206">
        <f t="shared" si="31"/>
        <v>154</v>
      </c>
      <c r="AI36" s="202">
        <v>92</v>
      </c>
      <c r="AJ36" s="202">
        <v>62</v>
      </c>
      <c r="AK36" s="206">
        <f t="shared" si="32"/>
        <v>0</v>
      </c>
      <c r="AL36" s="202">
        <v>0</v>
      </c>
      <c r="AM36" s="202">
        <v>0</v>
      </c>
      <c r="AN36" s="206">
        <f t="shared" si="33"/>
        <v>0</v>
      </c>
      <c r="AO36" s="202"/>
      <c r="AP36" s="202"/>
    </row>
    <row r="37" ht="17" customHeight="1" spans="1:42">
      <c r="A37" s="191" t="s">
        <v>46</v>
      </c>
      <c r="B37" s="186">
        <f t="shared" si="19"/>
        <v>2530.5</v>
      </c>
      <c r="C37" s="186">
        <f t="shared" si="20"/>
        <v>1757.5</v>
      </c>
      <c r="D37" s="186">
        <v>35</v>
      </c>
      <c r="E37" s="186">
        <f t="shared" si="21"/>
        <v>773</v>
      </c>
      <c r="F37" s="192">
        <f t="shared" si="22"/>
        <v>1328</v>
      </c>
      <c r="G37" s="186">
        <f t="shared" si="23"/>
        <v>894</v>
      </c>
      <c r="H37" s="186">
        <v>859</v>
      </c>
      <c r="I37" s="186">
        <v>35</v>
      </c>
      <c r="J37" s="186">
        <v>434</v>
      </c>
      <c r="K37" s="201">
        <f t="shared" si="24"/>
        <v>1202.5</v>
      </c>
      <c r="L37" s="201">
        <f t="shared" si="25"/>
        <v>863.5</v>
      </c>
      <c r="M37" s="201">
        <f t="shared" si="34"/>
        <v>155.5</v>
      </c>
      <c r="N37" s="201">
        <f t="shared" si="35"/>
        <v>708</v>
      </c>
      <c r="O37" s="201">
        <f t="shared" si="26"/>
        <v>339</v>
      </c>
      <c r="P37" s="202"/>
      <c r="Q37" s="202"/>
      <c r="R37" s="202"/>
      <c r="S37" s="71" t="s">
        <v>46</v>
      </c>
      <c r="T37" s="202" t="b">
        <f t="shared" si="15"/>
        <v>1</v>
      </c>
      <c r="U37" s="202">
        <f t="shared" si="27"/>
        <v>96</v>
      </c>
      <c r="V37" s="206">
        <f t="shared" si="28"/>
        <v>951</v>
      </c>
      <c r="W37" s="209">
        <v>708</v>
      </c>
      <c r="X37" s="202">
        <v>243</v>
      </c>
      <c r="Y37" s="206">
        <f t="shared" si="16"/>
        <v>12</v>
      </c>
      <c r="Z37" s="202">
        <v>8</v>
      </c>
      <c r="AA37" s="202">
        <v>4</v>
      </c>
      <c r="AB37" s="206">
        <f t="shared" si="29"/>
        <v>31</v>
      </c>
      <c r="AC37" s="202">
        <v>23</v>
      </c>
      <c r="AD37" s="202">
        <v>8</v>
      </c>
      <c r="AE37" s="206">
        <f t="shared" si="30"/>
        <v>0.5</v>
      </c>
      <c r="AF37" s="202">
        <v>0.5</v>
      </c>
      <c r="AG37" s="202">
        <v>0</v>
      </c>
      <c r="AH37" s="206">
        <f t="shared" si="31"/>
        <v>208</v>
      </c>
      <c r="AI37" s="202">
        <v>124</v>
      </c>
      <c r="AJ37" s="202">
        <v>84</v>
      </c>
      <c r="AK37" s="206">
        <f t="shared" si="32"/>
        <v>0</v>
      </c>
      <c r="AL37" s="202">
        <v>0</v>
      </c>
      <c r="AM37" s="202">
        <v>0</v>
      </c>
      <c r="AN37" s="206">
        <f t="shared" si="33"/>
        <v>0</v>
      </c>
      <c r="AO37" s="202"/>
      <c r="AP37" s="202"/>
    </row>
    <row r="38" ht="17" customHeight="1" spans="1:42">
      <c r="A38" s="191" t="s">
        <v>47</v>
      </c>
      <c r="B38" s="186">
        <f t="shared" si="19"/>
        <v>4642.3</v>
      </c>
      <c r="C38" s="186">
        <f t="shared" si="20"/>
        <v>3153.3</v>
      </c>
      <c r="D38" s="186">
        <v>60</v>
      </c>
      <c r="E38" s="186">
        <f t="shared" si="21"/>
        <v>1489</v>
      </c>
      <c r="F38" s="192">
        <f t="shared" si="22"/>
        <v>2480</v>
      </c>
      <c r="G38" s="186">
        <f t="shared" si="23"/>
        <v>1563</v>
      </c>
      <c r="H38" s="186">
        <v>1503</v>
      </c>
      <c r="I38" s="186">
        <v>60</v>
      </c>
      <c r="J38" s="186">
        <v>917</v>
      </c>
      <c r="K38" s="201">
        <f t="shared" si="24"/>
        <v>2162.3</v>
      </c>
      <c r="L38" s="201">
        <f t="shared" si="25"/>
        <v>1590.3</v>
      </c>
      <c r="M38" s="201">
        <f t="shared" si="34"/>
        <v>128.3</v>
      </c>
      <c r="N38" s="201">
        <f t="shared" si="35"/>
        <v>1462</v>
      </c>
      <c r="O38" s="201">
        <f t="shared" si="26"/>
        <v>572</v>
      </c>
      <c r="P38" s="202"/>
      <c r="Q38" s="202"/>
      <c r="R38" s="202"/>
      <c r="S38" s="71" t="s">
        <v>47</v>
      </c>
      <c r="T38" s="202" t="b">
        <f t="shared" si="15"/>
        <v>1</v>
      </c>
      <c r="U38" s="202">
        <f t="shared" si="27"/>
        <v>68</v>
      </c>
      <c r="V38" s="206">
        <f t="shared" si="28"/>
        <v>1966</v>
      </c>
      <c r="W38" s="209">
        <v>1462</v>
      </c>
      <c r="X38" s="202">
        <v>504</v>
      </c>
      <c r="Y38" s="206">
        <f t="shared" si="16"/>
        <v>17</v>
      </c>
      <c r="Z38" s="202">
        <v>12</v>
      </c>
      <c r="AA38" s="202">
        <v>5</v>
      </c>
      <c r="AB38" s="206">
        <f t="shared" si="29"/>
        <v>65</v>
      </c>
      <c r="AC38" s="202">
        <v>48</v>
      </c>
      <c r="AD38" s="202">
        <v>17</v>
      </c>
      <c r="AE38" s="206">
        <f t="shared" si="30"/>
        <v>0.3</v>
      </c>
      <c r="AF38" s="202">
        <v>0.3</v>
      </c>
      <c r="AG38" s="202">
        <v>0</v>
      </c>
      <c r="AH38" s="206">
        <f t="shared" si="31"/>
        <v>114</v>
      </c>
      <c r="AI38" s="202">
        <v>68</v>
      </c>
      <c r="AJ38" s="202">
        <v>46</v>
      </c>
      <c r="AK38" s="206">
        <f t="shared" si="32"/>
        <v>0</v>
      </c>
      <c r="AL38" s="202">
        <v>0</v>
      </c>
      <c r="AM38" s="202">
        <v>0</v>
      </c>
      <c r="AN38" s="206">
        <f t="shared" si="33"/>
        <v>0</v>
      </c>
      <c r="AO38" s="202"/>
      <c r="AP38" s="202"/>
    </row>
    <row r="39" ht="17" customHeight="1" spans="1:42">
      <c r="A39" s="191" t="s">
        <v>32</v>
      </c>
      <c r="B39" s="186">
        <f t="shared" si="19"/>
        <v>526</v>
      </c>
      <c r="C39" s="186">
        <f t="shared" si="20"/>
        <v>378</v>
      </c>
      <c r="D39" s="186">
        <v>18</v>
      </c>
      <c r="E39" s="186">
        <f t="shared" si="21"/>
        <v>148</v>
      </c>
      <c r="F39" s="192">
        <f t="shared" si="22"/>
        <v>259</v>
      </c>
      <c r="G39" s="186">
        <f t="shared" si="23"/>
        <v>190</v>
      </c>
      <c r="H39" s="186">
        <v>172</v>
      </c>
      <c r="I39" s="186">
        <v>18</v>
      </c>
      <c r="J39" s="186">
        <v>69</v>
      </c>
      <c r="K39" s="201">
        <f t="shared" si="24"/>
        <v>267</v>
      </c>
      <c r="L39" s="201">
        <f t="shared" si="25"/>
        <v>188</v>
      </c>
      <c r="M39" s="201">
        <f t="shared" si="34"/>
        <v>44</v>
      </c>
      <c r="N39" s="201">
        <f t="shared" si="35"/>
        <v>144</v>
      </c>
      <c r="O39" s="201">
        <f t="shared" si="26"/>
        <v>79</v>
      </c>
      <c r="P39" s="202"/>
      <c r="Q39" s="202"/>
      <c r="R39" s="202"/>
      <c r="S39" s="71" t="s">
        <v>32</v>
      </c>
      <c r="T39" s="202" t="b">
        <f t="shared" si="15"/>
        <v>1</v>
      </c>
      <c r="U39" s="202">
        <f t="shared" si="27"/>
        <v>30</v>
      </c>
      <c r="V39" s="206">
        <f t="shared" si="28"/>
        <v>193</v>
      </c>
      <c r="W39" s="209">
        <v>144</v>
      </c>
      <c r="X39" s="202">
        <v>49</v>
      </c>
      <c r="Y39" s="206">
        <f t="shared" si="16"/>
        <v>0</v>
      </c>
      <c r="Z39" s="202">
        <v>0</v>
      </c>
      <c r="AA39" s="202">
        <v>0</v>
      </c>
      <c r="AB39" s="206">
        <f t="shared" si="29"/>
        <v>0</v>
      </c>
      <c r="AC39" s="202">
        <v>0</v>
      </c>
      <c r="AD39" s="202">
        <v>0</v>
      </c>
      <c r="AE39" s="206">
        <f t="shared" si="30"/>
        <v>0</v>
      </c>
      <c r="AF39" s="202">
        <v>0</v>
      </c>
      <c r="AG39" s="202">
        <v>0</v>
      </c>
      <c r="AH39" s="206">
        <f t="shared" si="31"/>
        <v>74</v>
      </c>
      <c r="AI39" s="202">
        <v>44</v>
      </c>
      <c r="AJ39" s="202">
        <v>30</v>
      </c>
      <c r="AK39" s="206">
        <f t="shared" si="32"/>
        <v>0</v>
      </c>
      <c r="AL39" s="202">
        <v>0</v>
      </c>
      <c r="AM39" s="202">
        <v>0</v>
      </c>
      <c r="AN39" s="206">
        <f t="shared" si="33"/>
        <v>0</v>
      </c>
      <c r="AO39" s="202"/>
      <c r="AP39" s="202"/>
    </row>
    <row r="40" ht="17" customHeight="1" spans="1:42">
      <c r="A40" s="191" t="s">
        <v>33</v>
      </c>
      <c r="B40" s="186">
        <f t="shared" si="19"/>
        <v>578</v>
      </c>
      <c r="C40" s="186">
        <f t="shared" si="20"/>
        <v>411</v>
      </c>
      <c r="D40" s="186">
        <v>13</v>
      </c>
      <c r="E40" s="186">
        <f t="shared" si="21"/>
        <v>167</v>
      </c>
      <c r="F40" s="192">
        <f t="shared" si="22"/>
        <v>290</v>
      </c>
      <c r="G40" s="186">
        <f t="shared" si="23"/>
        <v>209</v>
      </c>
      <c r="H40" s="186">
        <v>196</v>
      </c>
      <c r="I40" s="186">
        <v>13</v>
      </c>
      <c r="J40" s="186">
        <v>81</v>
      </c>
      <c r="K40" s="201">
        <f t="shared" si="24"/>
        <v>288</v>
      </c>
      <c r="L40" s="201">
        <f t="shared" si="25"/>
        <v>202</v>
      </c>
      <c r="M40" s="201">
        <f t="shared" si="34"/>
        <v>52</v>
      </c>
      <c r="N40" s="201">
        <f t="shared" si="35"/>
        <v>150</v>
      </c>
      <c r="O40" s="201">
        <f t="shared" si="26"/>
        <v>86</v>
      </c>
      <c r="P40" s="202"/>
      <c r="Q40" s="202"/>
      <c r="R40" s="202"/>
      <c r="S40" s="71" t="s">
        <v>33</v>
      </c>
      <c r="T40" s="202" t="b">
        <f t="shared" si="15"/>
        <v>1</v>
      </c>
      <c r="U40" s="202">
        <f t="shared" si="27"/>
        <v>34</v>
      </c>
      <c r="V40" s="206">
        <f t="shared" si="28"/>
        <v>202</v>
      </c>
      <c r="W40" s="209">
        <v>150</v>
      </c>
      <c r="X40" s="202">
        <v>52</v>
      </c>
      <c r="Y40" s="206">
        <f t="shared" si="16"/>
        <v>1</v>
      </c>
      <c r="Z40" s="202">
        <v>1</v>
      </c>
      <c r="AA40" s="202">
        <v>0</v>
      </c>
      <c r="AB40" s="206">
        <f t="shared" si="29"/>
        <v>3</v>
      </c>
      <c r="AC40" s="202">
        <v>2</v>
      </c>
      <c r="AD40" s="202">
        <v>1</v>
      </c>
      <c r="AE40" s="206">
        <f t="shared" si="30"/>
        <v>0</v>
      </c>
      <c r="AF40" s="202">
        <v>0</v>
      </c>
      <c r="AG40" s="202">
        <v>0</v>
      </c>
      <c r="AH40" s="206">
        <f t="shared" si="31"/>
        <v>82</v>
      </c>
      <c r="AI40" s="202">
        <v>49</v>
      </c>
      <c r="AJ40" s="202">
        <v>33</v>
      </c>
      <c r="AK40" s="206">
        <f t="shared" si="32"/>
        <v>0</v>
      </c>
      <c r="AL40" s="202">
        <v>0</v>
      </c>
      <c r="AM40" s="202">
        <v>0</v>
      </c>
      <c r="AN40" s="206">
        <f t="shared" si="33"/>
        <v>0</v>
      </c>
      <c r="AO40" s="202"/>
      <c r="AP40" s="202"/>
    </row>
    <row r="41" ht="17" customHeight="1" spans="1:42">
      <c r="A41" s="191" t="s">
        <v>48</v>
      </c>
      <c r="B41" s="186">
        <f t="shared" si="19"/>
        <v>2431</v>
      </c>
      <c r="C41" s="186">
        <f t="shared" si="20"/>
        <v>1643</v>
      </c>
      <c r="D41" s="186">
        <v>25</v>
      </c>
      <c r="E41" s="186">
        <f t="shared" si="21"/>
        <v>788</v>
      </c>
      <c r="F41" s="192">
        <f t="shared" si="22"/>
        <v>1299</v>
      </c>
      <c r="G41" s="186">
        <f t="shared" si="23"/>
        <v>815</v>
      </c>
      <c r="H41" s="186">
        <v>790</v>
      </c>
      <c r="I41" s="186">
        <v>25</v>
      </c>
      <c r="J41" s="186">
        <v>484</v>
      </c>
      <c r="K41" s="201">
        <f t="shared" si="24"/>
        <v>1132</v>
      </c>
      <c r="L41" s="201">
        <f t="shared" si="25"/>
        <v>828</v>
      </c>
      <c r="M41" s="201">
        <f t="shared" si="34"/>
        <v>82</v>
      </c>
      <c r="N41" s="201">
        <f t="shared" si="35"/>
        <v>746</v>
      </c>
      <c r="O41" s="201">
        <f t="shared" si="26"/>
        <v>304</v>
      </c>
      <c r="P41" s="202"/>
      <c r="Q41" s="202"/>
      <c r="R41" s="202"/>
      <c r="S41" s="71" t="s">
        <v>48</v>
      </c>
      <c r="T41" s="202" t="b">
        <f t="shared" si="15"/>
        <v>1</v>
      </c>
      <c r="U41" s="202">
        <f t="shared" si="27"/>
        <v>47</v>
      </c>
      <c r="V41" s="206">
        <f t="shared" si="28"/>
        <v>1003</v>
      </c>
      <c r="W41" s="209">
        <v>746</v>
      </c>
      <c r="X41" s="202">
        <v>257</v>
      </c>
      <c r="Y41" s="206">
        <f t="shared" si="16"/>
        <v>9</v>
      </c>
      <c r="Z41" s="202">
        <v>6</v>
      </c>
      <c r="AA41" s="202">
        <v>3</v>
      </c>
      <c r="AB41" s="206">
        <f t="shared" si="29"/>
        <v>27</v>
      </c>
      <c r="AC41" s="202">
        <v>20</v>
      </c>
      <c r="AD41" s="202">
        <v>7</v>
      </c>
      <c r="AE41" s="206">
        <f t="shared" si="30"/>
        <v>1</v>
      </c>
      <c r="AF41" s="202">
        <v>1</v>
      </c>
      <c r="AG41" s="202">
        <v>0</v>
      </c>
      <c r="AH41" s="206">
        <f t="shared" si="31"/>
        <v>92</v>
      </c>
      <c r="AI41" s="202">
        <v>55</v>
      </c>
      <c r="AJ41" s="202">
        <v>37</v>
      </c>
      <c r="AK41" s="206">
        <f t="shared" si="32"/>
        <v>0</v>
      </c>
      <c r="AL41" s="202">
        <v>0</v>
      </c>
      <c r="AM41" s="202">
        <v>0</v>
      </c>
      <c r="AN41" s="206">
        <f t="shared" si="33"/>
        <v>0</v>
      </c>
      <c r="AO41" s="202"/>
      <c r="AP41" s="202"/>
    </row>
    <row r="42" ht="17" customHeight="1" spans="1:42">
      <c r="A42" s="191" t="s">
        <v>49</v>
      </c>
      <c r="B42" s="186">
        <f t="shared" si="19"/>
        <v>6259.6</v>
      </c>
      <c r="C42" s="186">
        <f t="shared" si="20"/>
        <v>4882.8</v>
      </c>
      <c r="D42" s="186">
        <v>130</v>
      </c>
      <c r="E42" s="186">
        <f t="shared" si="21"/>
        <v>1376.8</v>
      </c>
      <c r="F42" s="192">
        <f t="shared" si="22"/>
        <v>3082.4</v>
      </c>
      <c r="G42" s="186">
        <f t="shared" si="23"/>
        <v>2420.6</v>
      </c>
      <c r="H42" s="186">
        <v>2290.6</v>
      </c>
      <c r="I42" s="186">
        <v>130</v>
      </c>
      <c r="J42" s="186">
        <v>661.8</v>
      </c>
      <c r="K42" s="201">
        <f t="shared" si="24"/>
        <v>3177.2</v>
      </c>
      <c r="L42" s="201">
        <f t="shared" si="25"/>
        <v>2462.2</v>
      </c>
      <c r="M42" s="201">
        <f t="shared" si="34"/>
        <v>1245.2</v>
      </c>
      <c r="N42" s="201">
        <f t="shared" si="35"/>
        <v>1217</v>
      </c>
      <c r="O42" s="201">
        <f t="shared" si="26"/>
        <v>715</v>
      </c>
      <c r="P42" s="202"/>
      <c r="Q42" s="202"/>
      <c r="R42" s="202"/>
      <c r="S42" s="75" t="s">
        <v>49</v>
      </c>
      <c r="T42" s="202" t="b">
        <f t="shared" si="15"/>
        <v>1</v>
      </c>
      <c r="U42" s="202">
        <f t="shared" si="27"/>
        <v>301</v>
      </c>
      <c r="V42" s="206">
        <f t="shared" si="28"/>
        <v>1631</v>
      </c>
      <c r="W42" s="209">
        <v>1217</v>
      </c>
      <c r="X42" s="202">
        <v>414</v>
      </c>
      <c r="Y42" s="206">
        <f t="shared" si="16"/>
        <v>49</v>
      </c>
      <c r="Z42" s="202">
        <v>34</v>
      </c>
      <c r="AA42" s="202">
        <v>15</v>
      </c>
      <c r="AB42" s="206">
        <f t="shared" si="29"/>
        <v>91</v>
      </c>
      <c r="AC42" s="202">
        <v>67</v>
      </c>
      <c r="AD42" s="202">
        <v>24</v>
      </c>
      <c r="AE42" s="206">
        <f t="shared" si="30"/>
        <v>4.2</v>
      </c>
      <c r="AF42" s="202">
        <v>3.2</v>
      </c>
      <c r="AG42" s="202">
        <v>1</v>
      </c>
      <c r="AH42" s="206">
        <f t="shared" si="31"/>
        <v>648</v>
      </c>
      <c r="AI42" s="202">
        <v>387</v>
      </c>
      <c r="AJ42" s="202">
        <v>261</v>
      </c>
      <c r="AK42" s="206">
        <f t="shared" si="32"/>
        <v>754</v>
      </c>
      <c r="AL42" s="202">
        <v>754</v>
      </c>
      <c r="AM42" s="202">
        <v>0</v>
      </c>
      <c r="AN42" s="206">
        <f t="shared" si="33"/>
        <v>0</v>
      </c>
      <c r="AO42" s="202"/>
      <c r="AP42" s="202"/>
    </row>
    <row r="43" ht="17" customHeight="1" spans="1:42">
      <c r="A43" s="191" t="s">
        <v>50</v>
      </c>
      <c r="B43" s="186">
        <f t="shared" si="19"/>
        <v>7284.5</v>
      </c>
      <c r="C43" s="186">
        <f t="shared" si="20"/>
        <v>4665</v>
      </c>
      <c r="D43" s="186">
        <v>122</v>
      </c>
      <c r="E43" s="186">
        <f t="shared" si="21"/>
        <v>2619.5</v>
      </c>
      <c r="F43" s="192">
        <f t="shared" si="22"/>
        <v>3621</v>
      </c>
      <c r="G43" s="186">
        <f t="shared" si="23"/>
        <v>2400.5</v>
      </c>
      <c r="H43" s="186">
        <v>2278.5</v>
      </c>
      <c r="I43" s="186">
        <v>122</v>
      </c>
      <c r="J43" s="186">
        <v>1220.5</v>
      </c>
      <c r="K43" s="201">
        <f t="shared" si="24"/>
        <v>3663.5</v>
      </c>
      <c r="L43" s="201">
        <f t="shared" si="25"/>
        <v>2264.5</v>
      </c>
      <c r="M43" s="201">
        <f t="shared" si="34"/>
        <v>590.5</v>
      </c>
      <c r="N43" s="201">
        <f t="shared" si="35"/>
        <v>1674</v>
      </c>
      <c r="O43" s="201">
        <f t="shared" si="26"/>
        <v>1399</v>
      </c>
      <c r="P43" s="202"/>
      <c r="Q43" s="202"/>
      <c r="R43" s="202"/>
      <c r="S43" s="75" t="s">
        <v>50</v>
      </c>
      <c r="T43" s="202" t="b">
        <f t="shared" si="15"/>
        <v>1</v>
      </c>
      <c r="U43" s="202">
        <f t="shared" si="27"/>
        <v>828</v>
      </c>
      <c r="V43" s="206">
        <f t="shared" si="28"/>
        <v>2245</v>
      </c>
      <c r="W43" s="209">
        <v>1674</v>
      </c>
      <c r="X43" s="202">
        <v>571</v>
      </c>
      <c r="Y43" s="206">
        <f t="shared" si="16"/>
        <v>58</v>
      </c>
      <c r="Z43" s="202">
        <v>40</v>
      </c>
      <c r="AA43" s="202">
        <v>18</v>
      </c>
      <c r="AB43" s="206">
        <f t="shared" si="29"/>
        <v>92</v>
      </c>
      <c r="AC43" s="202">
        <v>68</v>
      </c>
      <c r="AD43" s="202">
        <v>24</v>
      </c>
      <c r="AE43" s="206">
        <f t="shared" si="30"/>
        <v>6.5</v>
      </c>
      <c r="AF43" s="202">
        <v>4.5</v>
      </c>
      <c r="AG43" s="202">
        <v>2</v>
      </c>
      <c r="AH43" s="206">
        <f t="shared" si="31"/>
        <v>800</v>
      </c>
      <c r="AI43" s="202">
        <v>478</v>
      </c>
      <c r="AJ43" s="202">
        <v>322</v>
      </c>
      <c r="AK43" s="206">
        <f t="shared" si="32"/>
        <v>462</v>
      </c>
      <c r="AL43" s="202">
        <v>0</v>
      </c>
      <c r="AM43" s="202">
        <v>462</v>
      </c>
      <c r="AN43" s="206">
        <f t="shared" si="33"/>
        <v>0</v>
      </c>
      <c r="AO43" s="202"/>
      <c r="AP43" s="202"/>
    </row>
    <row r="44" ht="17" customHeight="1" spans="1:42">
      <c r="A44" s="191" t="s">
        <v>51</v>
      </c>
      <c r="B44" s="186">
        <f t="shared" si="19"/>
        <v>7672</v>
      </c>
      <c r="C44" s="186">
        <f t="shared" si="20"/>
        <v>5499</v>
      </c>
      <c r="D44" s="186">
        <v>141</v>
      </c>
      <c r="E44" s="186">
        <f t="shared" si="21"/>
        <v>2173</v>
      </c>
      <c r="F44" s="192">
        <f t="shared" si="22"/>
        <v>3890</v>
      </c>
      <c r="G44" s="186">
        <f t="shared" si="23"/>
        <v>2820</v>
      </c>
      <c r="H44" s="186">
        <v>2679</v>
      </c>
      <c r="I44" s="186">
        <v>141</v>
      </c>
      <c r="J44" s="186">
        <v>1070</v>
      </c>
      <c r="K44" s="201">
        <f t="shared" si="24"/>
        <v>3782</v>
      </c>
      <c r="L44" s="201">
        <f t="shared" si="25"/>
        <v>2679</v>
      </c>
      <c r="M44" s="201">
        <f t="shared" si="34"/>
        <v>714</v>
      </c>
      <c r="N44" s="201">
        <f t="shared" si="35"/>
        <v>1965</v>
      </c>
      <c r="O44" s="201">
        <f t="shared" si="26"/>
        <v>1103</v>
      </c>
      <c r="P44" s="202"/>
      <c r="Q44" s="202"/>
      <c r="R44" s="202"/>
      <c r="S44" s="75" t="s">
        <v>51</v>
      </c>
      <c r="T44" s="202" t="b">
        <f t="shared" si="15"/>
        <v>1</v>
      </c>
      <c r="U44" s="202">
        <f t="shared" si="27"/>
        <v>433</v>
      </c>
      <c r="V44" s="206">
        <f t="shared" si="28"/>
        <v>2635</v>
      </c>
      <c r="W44" s="209">
        <v>1965</v>
      </c>
      <c r="X44" s="202">
        <v>670</v>
      </c>
      <c r="Y44" s="206">
        <f t="shared" si="16"/>
        <v>165</v>
      </c>
      <c r="Z44" s="202">
        <v>114</v>
      </c>
      <c r="AA44" s="202">
        <v>51</v>
      </c>
      <c r="AB44" s="206">
        <f t="shared" si="29"/>
        <v>92</v>
      </c>
      <c r="AC44" s="202">
        <v>68</v>
      </c>
      <c r="AD44" s="202">
        <v>24</v>
      </c>
      <c r="AE44" s="206">
        <f t="shared" si="30"/>
        <v>7</v>
      </c>
      <c r="AF44" s="202">
        <v>5</v>
      </c>
      <c r="AG44" s="202">
        <v>2</v>
      </c>
      <c r="AH44" s="206">
        <f t="shared" si="31"/>
        <v>883</v>
      </c>
      <c r="AI44" s="202">
        <v>527</v>
      </c>
      <c r="AJ44" s="202">
        <v>356</v>
      </c>
      <c r="AK44" s="206">
        <f t="shared" si="32"/>
        <v>0</v>
      </c>
      <c r="AL44" s="202">
        <v>0</v>
      </c>
      <c r="AM44" s="202">
        <v>0</v>
      </c>
      <c r="AN44" s="206">
        <f t="shared" si="33"/>
        <v>0</v>
      </c>
      <c r="AO44" s="202"/>
      <c r="AP44" s="202"/>
    </row>
    <row r="45" ht="17" customHeight="1" spans="1:42">
      <c r="A45" s="191" t="s">
        <v>52</v>
      </c>
      <c r="B45" s="186">
        <f t="shared" si="19"/>
        <v>9708.5</v>
      </c>
      <c r="C45" s="186">
        <f t="shared" si="20"/>
        <v>7264.5</v>
      </c>
      <c r="D45" s="186">
        <v>190</v>
      </c>
      <c r="E45" s="186">
        <f t="shared" si="21"/>
        <v>2444</v>
      </c>
      <c r="F45" s="192">
        <f t="shared" si="22"/>
        <v>4691</v>
      </c>
      <c r="G45" s="186">
        <f t="shared" si="23"/>
        <v>3520</v>
      </c>
      <c r="H45" s="186">
        <v>3330</v>
      </c>
      <c r="I45" s="186">
        <v>190</v>
      </c>
      <c r="J45" s="186">
        <v>1171</v>
      </c>
      <c r="K45" s="201">
        <f t="shared" si="24"/>
        <v>5017.5</v>
      </c>
      <c r="L45" s="201">
        <f t="shared" si="25"/>
        <v>3744.5</v>
      </c>
      <c r="M45" s="201">
        <f t="shared" si="34"/>
        <v>1544.5</v>
      </c>
      <c r="N45" s="201">
        <f t="shared" si="35"/>
        <v>2200</v>
      </c>
      <c r="O45" s="201">
        <f t="shared" si="26"/>
        <v>1273</v>
      </c>
      <c r="P45" s="202"/>
      <c r="Q45" s="202"/>
      <c r="R45" s="202"/>
      <c r="S45" s="75" t="s">
        <v>52</v>
      </c>
      <c r="T45" s="202" t="b">
        <f t="shared" si="15"/>
        <v>1</v>
      </c>
      <c r="U45" s="202">
        <f t="shared" si="27"/>
        <v>523</v>
      </c>
      <c r="V45" s="206">
        <f t="shared" si="28"/>
        <v>2950</v>
      </c>
      <c r="W45" s="209">
        <v>2200</v>
      </c>
      <c r="X45" s="202">
        <v>750</v>
      </c>
      <c r="Y45" s="206">
        <f t="shared" si="16"/>
        <v>164</v>
      </c>
      <c r="Z45" s="202">
        <v>113</v>
      </c>
      <c r="AA45" s="202">
        <v>51</v>
      </c>
      <c r="AB45" s="206">
        <f t="shared" si="29"/>
        <v>105</v>
      </c>
      <c r="AC45" s="202">
        <v>77</v>
      </c>
      <c r="AD45" s="202">
        <v>28</v>
      </c>
      <c r="AE45" s="206">
        <f t="shared" si="30"/>
        <v>6.5</v>
      </c>
      <c r="AF45" s="202">
        <v>4.5</v>
      </c>
      <c r="AG45" s="202">
        <v>2</v>
      </c>
      <c r="AH45" s="206">
        <f t="shared" si="31"/>
        <v>1010</v>
      </c>
      <c r="AI45" s="202">
        <v>603</v>
      </c>
      <c r="AJ45" s="202">
        <v>407</v>
      </c>
      <c r="AK45" s="206">
        <f t="shared" si="32"/>
        <v>782</v>
      </c>
      <c r="AL45" s="202">
        <v>747</v>
      </c>
      <c r="AM45" s="202">
        <v>35</v>
      </c>
      <c r="AN45" s="206">
        <f t="shared" si="33"/>
        <v>0</v>
      </c>
      <c r="AO45" s="202"/>
      <c r="AP45" s="202"/>
    </row>
    <row r="46" ht="17" customHeight="1" spans="1:42">
      <c r="A46" s="191" t="s">
        <v>53</v>
      </c>
      <c r="B46" s="186">
        <f t="shared" si="19"/>
        <v>8751.6</v>
      </c>
      <c r="C46" s="186">
        <f t="shared" si="20"/>
        <v>5475.5</v>
      </c>
      <c r="D46" s="186">
        <v>186</v>
      </c>
      <c r="E46" s="186">
        <f t="shared" si="21"/>
        <v>3276.1</v>
      </c>
      <c r="F46" s="192">
        <f t="shared" si="22"/>
        <v>4197.4</v>
      </c>
      <c r="G46" s="186">
        <f t="shared" si="23"/>
        <v>2758.3</v>
      </c>
      <c r="H46" s="186">
        <v>2572.3</v>
      </c>
      <c r="I46" s="186">
        <v>186</v>
      </c>
      <c r="J46" s="186">
        <v>1439.1</v>
      </c>
      <c r="K46" s="201">
        <f t="shared" si="24"/>
        <v>4554.2</v>
      </c>
      <c r="L46" s="201">
        <f t="shared" si="25"/>
        <v>2717.2</v>
      </c>
      <c r="M46" s="201">
        <f t="shared" si="34"/>
        <v>717.2</v>
      </c>
      <c r="N46" s="201">
        <f t="shared" si="35"/>
        <v>2000</v>
      </c>
      <c r="O46" s="201">
        <f t="shared" si="26"/>
        <v>1837</v>
      </c>
      <c r="P46" s="202"/>
      <c r="Q46" s="202"/>
      <c r="R46" s="202"/>
      <c r="S46" s="75" t="s">
        <v>53</v>
      </c>
      <c r="T46" s="202" t="b">
        <f t="shared" si="15"/>
        <v>1</v>
      </c>
      <c r="U46" s="202">
        <f t="shared" si="27"/>
        <v>1156</v>
      </c>
      <c r="V46" s="206">
        <f t="shared" si="28"/>
        <v>2681</v>
      </c>
      <c r="W46" s="209">
        <v>2000</v>
      </c>
      <c r="X46" s="202">
        <v>681</v>
      </c>
      <c r="Y46" s="206">
        <f t="shared" si="16"/>
        <v>138</v>
      </c>
      <c r="Z46" s="202">
        <v>95</v>
      </c>
      <c r="AA46" s="202">
        <v>43</v>
      </c>
      <c r="AB46" s="206">
        <f t="shared" si="29"/>
        <v>102</v>
      </c>
      <c r="AC46" s="202">
        <v>75</v>
      </c>
      <c r="AD46" s="202">
        <v>27</v>
      </c>
      <c r="AE46" s="206">
        <f t="shared" si="30"/>
        <v>12.2</v>
      </c>
      <c r="AF46" s="202">
        <v>8.2</v>
      </c>
      <c r="AG46" s="202">
        <v>4</v>
      </c>
      <c r="AH46" s="206">
        <f t="shared" si="31"/>
        <v>903</v>
      </c>
      <c r="AI46" s="202">
        <v>539</v>
      </c>
      <c r="AJ46" s="202">
        <v>364</v>
      </c>
      <c r="AK46" s="206">
        <f t="shared" si="32"/>
        <v>718</v>
      </c>
      <c r="AL46" s="202">
        <v>0</v>
      </c>
      <c r="AM46" s="202">
        <v>718</v>
      </c>
      <c r="AN46" s="206">
        <f t="shared" si="33"/>
        <v>0</v>
      </c>
      <c r="AO46" s="202"/>
      <c r="AP46" s="202"/>
    </row>
    <row r="47" ht="17" customHeight="1" spans="1:42">
      <c r="A47" s="193" t="s">
        <v>54</v>
      </c>
      <c r="B47" s="189">
        <f t="shared" si="19"/>
        <v>8063</v>
      </c>
      <c r="C47" s="189">
        <f t="shared" si="20"/>
        <v>5267.3</v>
      </c>
      <c r="D47" s="189">
        <v>63</v>
      </c>
      <c r="E47" s="189">
        <f t="shared" si="21"/>
        <v>2795.7</v>
      </c>
      <c r="F47" s="192">
        <f t="shared" si="22"/>
        <v>4344.3</v>
      </c>
      <c r="G47" s="186">
        <f t="shared" si="23"/>
        <v>2612.6</v>
      </c>
      <c r="H47" s="189">
        <v>2549.6</v>
      </c>
      <c r="I47" s="189">
        <v>63</v>
      </c>
      <c r="J47" s="189">
        <v>1731.7</v>
      </c>
      <c r="K47" s="199">
        <f t="shared" si="24"/>
        <v>3718.7</v>
      </c>
      <c r="L47" s="199">
        <f t="shared" si="25"/>
        <v>2654.7</v>
      </c>
      <c r="M47" s="201">
        <f t="shared" si="34"/>
        <v>241.7</v>
      </c>
      <c r="N47" s="201">
        <f t="shared" si="35"/>
        <v>2413</v>
      </c>
      <c r="O47" s="199">
        <f t="shared" si="26"/>
        <v>1064</v>
      </c>
      <c r="P47" s="200"/>
      <c r="Q47" s="200"/>
      <c r="R47" s="200"/>
      <c r="S47" s="76" t="s">
        <v>54</v>
      </c>
      <c r="T47" s="202" t="b">
        <f t="shared" si="15"/>
        <v>1</v>
      </c>
      <c r="U47" s="202">
        <f t="shared" si="27"/>
        <v>231</v>
      </c>
      <c r="V47" s="206">
        <f t="shared" si="28"/>
        <v>3246</v>
      </c>
      <c r="W47" s="209">
        <v>2413</v>
      </c>
      <c r="X47" s="202">
        <v>833</v>
      </c>
      <c r="Y47" s="206">
        <f t="shared" si="16"/>
        <v>20</v>
      </c>
      <c r="Z47" s="202">
        <v>14</v>
      </c>
      <c r="AA47" s="202">
        <v>6</v>
      </c>
      <c r="AB47" s="206">
        <f t="shared" si="29"/>
        <v>220</v>
      </c>
      <c r="AC47" s="202">
        <v>161</v>
      </c>
      <c r="AD47" s="202">
        <v>59</v>
      </c>
      <c r="AE47" s="206">
        <f t="shared" si="30"/>
        <v>13.7</v>
      </c>
      <c r="AF47" s="202">
        <v>9.7</v>
      </c>
      <c r="AG47" s="202">
        <v>4</v>
      </c>
      <c r="AH47" s="206">
        <f t="shared" si="31"/>
        <v>95</v>
      </c>
      <c r="AI47" s="202">
        <v>57</v>
      </c>
      <c r="AJ47" s="202">
        <v>38</v>
      </c>
      <c r="AK47" s="206">
        <f t="shared" si="32"/>
        <v>124</v>
      </c>
      <c r="AL47" s="202">
        <v>0</v>
      </c>
      <c r="AM47" s="202">
        <v>124</v>
      </c>
      <c r="AN47" s="206">
        <f t="shared" si="33"/>
        <v>0</v>
      </c>
      <c r="AO47" s="202"/>
      <c r="AP47" s="202"/>
    </row>
    <row r="48" ht="17" customHeight="1" spans="1:42">
      <c r="A48" s="191" t="s">
        <v>26</v>
      </c>
      <c r="B48" s="186">
        <f t="shared" si="19"/>
        <v>238.5</v>
      </c>
      <c r="C48" s="186">
        <f t="shared" si="20"/>
        <v>174</v>
      </c>
      <c r="D48" s="186">
        <v>0</v>
      </c>
      <c r="E48" s="186">
        <f t="shared" si="21"/>
        <v>64.5</v>
      </c>
      <c r="F48" s="192">
        <f t="shared" si="22"/>
        <v>107.6</v>
      </c>
      <c r="G48" s="186">
        <f t="shared" si="23"/>
        <v>79.1</v>
      </c>
      <c r="H48" s="186">
        <v>79.1</v>
      </c>
      <c r="I48" s="186">
        <v>0</v>
      </c>
      <c r="J48" s="186">
        <v>28.5</v>
      </c>
      <c r="K48" s="201">
        <f t="shared" si="24"/>
        <v>130.9</v>
      </c>
      <c r="L48" s="201">
        <f t="shared" si="25"/>
        <v>94.9</v>
      </c>
      <c r="M48" s="201">
        <f t="shared" si="34"/>
        <v>94.9</v>
      </c>
      <c r="N48" s="201">
        <f t="shared" si="35"/>
        <v>0</v>
      </c>
      <c r="O48" s="201">
        <f t="shared" si="26"/>
        <v>36</v>
      </c>
      <c r="P48" s="202"/>
      <c r="Q48" s="202"/>
      <c r="R48" s="202"/>
      <c r="S48" s="71" t="s">
        <v>26</v>
      </c>
      <c r="T48" s="202" t="b">
        <f t="shared" si="15"/>
        <v>1</v>
      </c>
      <c r="U48" s="202">
        <f t="shared" si="27"/>
        <v>36</v>
      </c>
      <c r="V48" s="206">
        <f t="shared" si="28"/>
        <v>0</v>
      </c>
      <c r="W48" s="210">
        <v>0</v>
      </c>
      <c r="X48" s="202">
        <v>0</v>
      </c>
      <c r="Y48" s="206">
        <f t="shared" si="16"/>
        <v>0</v>
      </c>
      <c r="Z48" s="202">
        <v>0</v>
      </c>
      <c r="AA48" s="202">
        <v>0</v>
      </c>
      <c r="AB48" s="206">
        <f t="shared" si="29"/>
        <v>119</v>
      </c>
      <c r="AC48" s="202">
        <v>87</v>
      </c>
      <c r="AD48" s="202">
        <v>32</v>
      </c>
      <c r="AE48" s="206">
        <f t="shared" si="30"/>
        <v>11.9</v>
      </c>
      <c r="AF48" s="202">
        <v>7.9</v>
      </c>
      <c r="AG48" s="202">
        <v>4</v>
      </c>
      <c r="AH48" s="206">
        <f t="shared" si="31"/>
        <v>0</v>
      </c>
      <c r="AI48" s="202">
        <v>0</v>
      </c>
      <c r="AJ48" s="202">
        <v>0</v>
      </c>
      <c r="AK48" s="206">
        <f t="shared" si="32"/>
        <v>0</v>
      </c>
      <c r="AL48" s="202">
        <v>0</v>
      </c>
      <c r="AM48" s="202">
        <v>0</v>
      </c>
      <c r="AN48" s="206">
        <f t="shared" si="33"/>
        <v>0</v>
      </c>
      <c r="AO48" s="202"/>
      <c r="AP48" s="202"/>
    </row>
    <row r="49" ht="17" customHeight="1" spans="1:42">
      <c r="A49" s="191" t="s">
        <v>55</v>
      </c>
      <c r="B49" s="186">
        <f t="shared" si="19"/>
        <v>3616.4</v>
      </c>
      <c r="C49" s="186">
        <f t="shared" si="20"/>
        <v>2461.2</v>
      </c>
      <c r="D49" s="186">
        <v>48</v>
      </c>
      <c r="E49" s="186">
        <f t="shared" si="21"/>
        <v>1155.2</v>
      </c>
      <c r="F49" s="192">
        <f t="shared" si="22"/>
        <v>1950.7</v>
      </c>
      <c r="G49" s="186">
        <f t="shared" si="23"/>
        <v>1223.5</v>
      </c>
      <c r="H49" s="186">
        <v>1175.5</v>
      </c>
      <c r="I49" s="186">
        <v>48</v>
      </c>
      <c r="J49" s="186">
        <v>727.2</v>
      </c>
      <c r="K49" s="201">
        <f t="shared" si="24"/>
        <v>1665.7</v>
      </c>
      <c r="L49" s="201">
        <f t="shared" si="25"/>
        <v>1237.7</v>
      </c>
      <c r="M49" s="201">
        <f t="shared" si="34"/>
        <v>46.7</v>
      </c>
      <c r="N49" s="201">
        <f t="shared" si="35"/>
        <v>1191</v>
      </c>
      <c r="O49" s="201">
        <f t="shared" si="26"/>
        <v>428</v>
      </c>
      <c r="P49" s="202"/>
      <c r="Q49" s="202"/>
      <c r="R49" s="202"/>
      <c r="S49" s="71" t="s">
        <v>55</v>
      </c>
      <c r="T49" s="202" t="b">
        <f t="shared" si="15"/>
        <v>1</v>
      </c>
      <c r="U49" s="202">
        <f t="shared" si="27"/>
        <v>17</v>
      </c>
      <c r="V49" s="206">
        <f t="shared" si="28"/>
        <v>1602</v>
      </c>
      <c r="W49" s="209">
        <v>1191</v>
      </c>
      <c r="X49" s="202">
        <v>411</v>
      </c>
      <c r="Y49" s="206">
        <f t="shared" si="16"/>
        <v>3</v>
      </c>
      <c r="Z49" s="202">
        <v>2</v>
      </c>
      <c r="AA49" s="202">
        <v>1</v>
      </c>
      <c r="AB49" s="206">
        <f t="shared" si="29"/>
        <v>57</v>
      </c>
      <c r="AC49" s="202">
        <v>42</v>
      </c>
      <c r="AD49" s="202">
        <v>15</v>
      </c>
      <c r="AE49" s="206">
        <f t="shared" si="30"/>
        <v>0.7</v>
      </c>
      <c r="AF49" s="202">
        <v>0.7</v>
      </c>
      <c r="AG49" s="202">
        <v>0</v>
      </c>
      <c r="AH49" s="206">
        <f t="shared" si="31"/>
        <v>3</v>
      </c>
      <c r="AI49" s="202">
        <v>2</v>
      </c>
      <c r="AJ49" s="202">
        <v>1</v>
      </c>
      <c r="AK49" s="206">
        <f t="shared" si="32"/>
        <v>0</v>
      </c>
      <c r="AL49" s="202">
        <v>0</v>
      </c>
      <c r="AM49" s="202">
        <v>0</v>
      </c>
      <c r="AN49" s="206">
        <f t="shared" si="33"/>
        <v>0</v>
      </c>
      <c r="AO49" s="202"/>
      <c r="AP49" s="202"/>
    </row>
    <row r="50" ht="17" customHeight="1" spans="1:42">
      <c r="A50" s="191" t="s">
        <v>56</v>
      </c>
      <c r="B50" s="186">
        <f t="shared" si="19"/>
        <v>4208.1</v>
      </c>
      <c r="C50" s="186">
        <f t="shared" si="20"/>
        <v>2632.1</v>
      </c>
      <c r="D50" s="186">
        <v>15</v>
      </c>
      <c r="E50" s="186">
        <f t="shared" si="21"/>
        <v>1576</v>
      </c>
      <c r="F50" s="192">
        <f t="shared" si="22"/>
        <v>2286</v>
      </c>
      <c r="G50" s="186">
        <f t="shared" si="23"/>
        <v>1310</v>
      </c>
      <c r="H50" s="186">
        <v>1295</v>
      </c>
      <c r="I50" s="186">
        <v>15</v>
      </c>
      <c r="J50" s="186">
        <v>976</v>
      </c>
      <c r="K50" s="201">
        <f t="shared" si="24"/>
        <v>1922.1</v>
      </c>
      <c r="L50" s="201">
        <f t="shared" si="25"/>
        <v>1322.1</v>
      </c>
      <c r="M50" s="201">
        <f t="shared" si="34"/>
        <v>100.1</v>
      </c>
      <c r="N50" s="201">
        <f t="shared" si="35"/>
        <v>1222</v>
      </c>
      <c r="O50" s="201">
        <f t="shared" si="26"/>
        <v>600</v>
      </c>
      <c r="P50" s="202"/>
      <c r="Q50" s="202"/>
      <c r="R50" s="202"/>
      <c r="S50" s="71" t="s">
        <v>56</v>
      </c>
      <c r="T50" s="202" t="b">
        <f t="shared" si="15"/>
        <v>1</v>
      </c>
      <c r="U50" s="202">
        <f t="shared" si="27"/>
        <v>178</v>
      </c>
      <c r="V50" s="206">
        <f t="shared" si="28"/>
        <v>1644</v>
      </c>
      <c r="W50" s="209">
        <v>1222</v>
      </c>
      <c r="X50" s="202">
        <v>422</v>
      </c>
      <c r="Y50" s="206">
        <f t="shared" si="16"/>
        <v>17</v>
      </c>
      <c r="Z50" s="202">
        <v>12</v>
      </c>
      <c r="AA50" s="202">
        <v>5</v>
      </c>
      <c r="AB50" s="206">
        <f t="shared" si="29"/>
        <v>44</v>
      </c>
      <c r="AC50" s="202">
        <v>32</v>
      </c>
      <c r="AD50" s="202">
        <v>12</v>
      </c>
      <c r="AE50" s="206">
        <f t="shared" si="30"/>
        <v>1.1</v>
      </c>
      <c r="AF50" s="202">
        <v>1.1</v>
      </c>
      <c r="AG50" s="202">
        <v>0</v>
      </c>
      <c r="AH50" s="206">
        <f t="shared" si="31"/>
        <v>92</v>
      </c>
      <c r="AI50" s="202">
        <v>55</v>
      </c>
      <c r="AJ50" s="202">
        <v>37</v>
      </c>
      <c r="AK50" s="206">
        <f t="shared" si="32"/>
        <v>124</v>
      </c>
      <c r="AL50" s="202">
        <v>0</v>
      </c>
      <c r="AM50" s="202">
        <v>124</v>
      </c>
      <c r="AN50" s="206">
        <f t="shared" si="33"/>
        <v>0</v>
      </c>
      <c r="AO50" s="202"/>
      <c r="AP50" s="202"/>
    </row>
    <row r="51" ht="17" customHeight="1" spans="1:42">
      <c r="A51" s="191" t="s">
        <v>57</v>
      </c>
      <c r="B51" s="186">
        <f t="shared" si="19"/>
        <v>15190.4</v>
      </c>
      <c r="C51" s="186">
        <f t="shared" si="20"/>
        <v>9545.4</v>
      </c>
      <c r="D51" s="186">
        <v>246</v>
      </c>
      <c r="E51" s="186">
        <f t="shared" si="21"/>
        <v>5645</v>
      </c>
      <c r="F51" s="192">
        <f t="shared" si="22"/>
        <v>7503</v>
      </c>
      <c r="G51" s="186">
        <f t="shared" si="23"/>
        <v>4787</v>
      </c>
      <c r="H51" s="186">
        <v>4541</v>
      </c>
      <c r="I51" s="186">
        <v>246</v>
      </c>
      <c r="J51" s="186">
        <v>2716</v>
      </c>
      <c r="K51" s="201">
        <f t="shared" si="24"/>
        <v>7687.4</v>
      </c>
      <c r="L51" s="201">
        <f t="shared" si="25"/>
        <v>4758.4</v>
      </c>
      <c r="M51" s="201">
        <f t="shared" si="34"/>
        <v>1073.4</v>
      </c>
      <c r="N51" s="201">
        <f t="shared" si="35"/>
        <v>3685</v>
      </c>
      <c r="O51" s="201">
        <f t="shared" si="26"/>
        <v>2929</v>
      </c>
      <c r="P51" s="202"/>
      <c r="Q51" s="202"/>
      <c r="R51" s="202"/>
      <c r="S51" s="75" t="s">
        <v>57</v>
      </c>
      <c r="T51" s="202" t="b">
        <f t="shared" si="15"/>
        <v>1</v>
      </c>
      <c r="U51" s="202">
        <f t="shared" si="27"/>
        <v>1672</v>
      </c>
      <c r="V51" s="206">
        <f t="shared" si="28"/>
        <v>4942</v>
      </c>
      <c r="W51" s="209">
        <v>3685</v>
      </c>
      <c r="X51" s="202">
        <v>1257</v>
      </c>
      <c r="Y51" s="206">
        <f t="shared" si="16"/>
        <v>154</v>
      </c>
      <c r="Z51" s="202">
        <v>106</v>
      </c>
      <c r="AA51" s="202">
        <v>48</v>
      </c>
      <c r="AB51" s="206">
        <f t="shared" si="29"/>
        <v>151</v>
      </c>
      <c r="AC51" s="202">
        <v>111</v>
      </c>
      <c r="AD51" s="202">
        <v>40</v>
      </c>
      <c r="AE51" s="206">
        <f t="shared" si="30"/>
        <v>5.4</v>
      </c>
      <c r="AF51" s="202">
        <v>3.4</v>
      </c>
      <c r="AG51" s="202">
        <v>2</v>
      </c>
      <c r="AH51" s="206">
        <f t="shared" si="31"/>
        <v>1428</v>
      </c>
      <c r="AI51" s="202">
        <v>853</v>
      </c>
      <c r="AJ51" s="202">
        <v>575</v>
      </c>
      <c r="AK51" s="206">
        <f t="shared" si="32"/>
        <v>1007</v>
      </c>
      <c r="AL51" s="202">
        <v>0</v>
      </c>
      <c r="AM51" s="202">
        <v>1007</v>
      </c>
      <c r="AN51" s="206">
        <f t="shared" si="33"/>
        <v>0</v>
      </c>
      <c r="AO51" s="202"/>
      <c r="AP51" s="202"/>
    </row>
    <row r="52" s="167" customFormat="1" ht="17" customHeight="1" spans="1:42">
      <c r="A52" s="191" t="s">
        <v>58</v>
      </c>
      <c r="B52" s="186">
        <f t="shared" si="19"/>
        <v>10107.5</v>
      </c>
      <c r="C52" s="186">
        <f t="shared" si="20"/>
        <v>7455.4</v>
      </c>
      <c r="D52" s="186">
        <v>185</v>
      </c>
      <c r="E52" s="186">
        <f t="shared" si="21"/>
        <v>2652.1</v>
      </c>
      <c r="F52" s="192">
        <f t="shared" si="22"/>
        <v>5082.4</v>
      </c>
      <c r="G52" s="186">
        <f t="shared" si="23"/>
        <v>3806.3</v>
      </c>
      <c r="H52" s="186">
        <v>3621.3</v>
      </c>
      <c r="I52" s="186">
        <v>185</v>
      </c>
      <c r="J52" s="186">
        <v>1276.1</v>
      </c>
      <c r="K52" s="201">
        <f t="shared" si="24"/>
        <v>5025.1</v>
      </c>
      <c r="L52" s="201">
        <f t="shared" si="25"/>
        <v>3649.1</v>
      </c>
      <c r="M52" s="201">
        <f t="shared" si="34"/>
        <v>1562.1</v>
      </c>
      <c r="N52" s="201">
        <f t="shared" si="35"/>
        <v>2087</v>
      </c>
      <c r="O52" s="201">
        <f t="shared" si="26"/>
        <v>1376</v>
      </c>
      <c r="P52" s="202"/>
      <c r="Q52" s="202"/>
      <c r="R52" s="202"/>
      <c r="S52" s="75" t="s">
        <v>58</v>
      </c>
      <c r="T52" s="202" t="b">
        <f t="shared" si="15"/>
        <v>1</v>
      </c>
      <c r="U52" s="202">
        <f t="shared" si="27"/>
        <v>426</v>
      </c>
      <c r="V52" s="206">
        <f t="shared" si="28"/>
        <v>3037</v>
      </c>
      <c r="W52" s="209">
        <v>2087</v>
      </c>
      <c r="X52" s="202">
        <v>950</v>
      </c>
      <c r="Y52" s="206">
        <f t="shared" si="16"/>
        <v>75</v>
      </c>
      <c r="Z52" s="202">
        <v>52</v>
      </c>
      <c r="AA52" s="202">
        <v>23</v>
      </c>
      <c r="AB52" s="206">
        <f t="shared" si="29"/>
        <v>127</v>
      </c>
      <c r="AC52" s="202">
        <v>86</v>
      </c>
      <c r="AD52" s="202">
        <v>41</v>
      </c>
      <c r="AE52" s="206">
        <f t="shared" si="30"/>
        <v>6.1</v>
      </c>
      <c r="AF52" s="202">
        <v>4.1</v>
      </c>
      <c r="AG52" s="202">
        <v>2</v>
      </c>
      <c r="AH52" s="206">
        <f t="shared" si="31"/>
        <v>894</v>
      </c>
      <c r="AI52" s="202">
        <v>534</v>
      </c>
      <c r="AJ52" s="202">
        <v>360</v>
      </c>
      <c r="AK52" s="206">
        <f t="shared" si="32"/>
        <v>886</v>
      </c>
      <c r="AL52" s="202">
        <v>886</v>
      </c>
      <c r="AM52" s="202">
        <v>0</v>
      </c>
      <c r="AN52" s="206">
        <f t="shared" si="33"/>
        <v>0</v>
      </c>
      <c r="AO52" s="202"/>
      <c r="AP52" s="202"/>
    </row>
    <row r="53" ht="17" customHeight="1" spans="1:42">
      <c r="A53" s="191" t="s">
        <v>43</v>
      </c>
      <c r="B53" s="186">
        <f t="shared" si="19"/>
        <v>22028.1</v>
      </c>
      <c r="C53" s="186">
        <f t="shared" si="20"/>
        <v>14807.1</v>
      </c>
      <c r="D53" s="186">
        <v>429</v>
      </c>
      <c r="E53" s="186">
        <f t="shared" si="21"/>
        <v>7221</v>
      </c>
      <c r="F53" s="192">
        <f t="shared" si="22"/>
        <v>10794</v>
      </c>
      <c r="G53" s="186">
        <f t="shared" si="23"/>
        <v>7458</v>
      </c>
      <c r="H53" s="186">
        <v>7029</v>
      </c>
      <c r="I53" s="186">
        <v>429</v>
      </c>
      <c r="J53" s="186">
        <v>3336</v>
      </c>
      <c r="K53" s="201">
        <f t="shared" si="24"/>
        <v>11234.1</v>
      </c>
      <c r="L53" s="201">
        <f t="shared" si="25"/>
        <v>7349.1</v>
      </c>
      <c r="M53" s="201">
        <f t="shared" si="34"/>
        <v>1397.1</v>
      </c>
      <c r="N53" s="201">
        <f t="shared" si="35"/>
        <v>5952</v>
      </c>
      <c r="O53" s="201">
        <f t="shared" si="26"/>
        <v>3885</v>
      </c>
      <c r="P53" s="202"/>
      <c r="Q53" s="202"/>
      <c r="R53" s="202"/>
      <c r="S53" s="75" t="s">
        <v>43</v>
      </c>
      <c r="T53" s="202" t="b">
        <f t="shared" si="15"/>
        <v>1</v>
      </c>
      <c r="U53" s="202">
        <f t="shared" si="27"/>
        <v>1857</v>
      </c>
      <c r="V53" s="206">
        <f t="shared" si="28"/>
        <v>7980</v>
      </c>
      <c r="W53" s="209">
        <v>5952</v>
      </c>
      <c r="X53" s="202">
        <v>2028</v>
      </c>
      <c r="Y53" s="206">
        <f t="shared" si="16"/>
        <v>402</v>
      </c>
      <c r="Z53" s="202">
        <v>277</v>
      </c>
      <c r="AA53" s="202">
        <v>125</v>
      </c>
      <c r="AB53" s="206">
        <f t="shared" si="29"/>
        <v>142</v>
      </c>
      <c r="AC53" s="202">
        <v>104</v>
      </c>
      <c r="AD53" s="202">
        <v>38</v>
      </c>
      <c r="AE53" s="206">
        <f t="shared" si="30"/>
        <v>1.1</v>
      </c>
      <c r="AF53" s="202">
        <v>1.1</v>
      </c>
      <c r="AG53" s="202">
        <v>0</v>
      </c>
      <c r="AH53" s="206">
        <f t="shared" si="31"/>
        <v>1700</v>
      </c>
      <c r="AI53" s="202">
        <v>1015</v>
      </c>
      <c r="AJ53" s="202">
        <v>685</v>
      </c>
      <c r="AK53" s="206">
        <f t="shared" si="32"/>
        <v>1009</v>
      </c>
      <c r="AL53" s="202">
        <v>0</v>
      </c>
      <c r="AM53" s="202">
        <v>1009</v>
      </c>
      <c r="AN53" s="206">
        <f t="shared" si="33"/>
        <v>0</v>
      </c>
      <c r="AO53" s="202"/>
      <c r="AP53" s="202"/>
    </row>
    <row r="54" ht="17" customHeight="1" spans="1:42">
      <c r="A54" s="191" t="s">
        <v>59</v>
      </c>
      <c r="B54" s="186">
        <f t="shared" si="19"/>
        <v>9561</v>
      </c>
      <c r="C54" s="186">
        <f t="shared" si="20"/>
        <v>6024.5</v>
      </c>
      <c r="D54" s="186">
        <v>152</v>
      </c>
      <c r="E54" s="186">
        <f t="shared" si="21"/>
        <v>3536.5</v>
      </c>
      <c r="F54" s="192">
        <f t="shared" si="22"/>
        <v>4726.6</v>
      </c>
      <c r="G54" s="186">
        <f t="shared" si="23"/>
        <v>2859.1</v>
      </c>
      <c r="H54" s="186">
        <v>2707.1</v>
      </c>
      <c r="I54" s="186">
        <v>152</v>
      </c>
      <c r="J54" s="186">
        <v>1867.5</v>
      </c>
      <c r="K54" s="201">
        <f t="shared" si="24"/>
        <v>4834.4</v>
      </c>
      <c r="L54" s="201">
        <f t="shared" si="25"/>
        <v>3165.4</v>
      </c>
      <c r="M54" s="201">
        <f t="shared" si="34"/>
        <v>1051.4</v>
      </c>
      <c r="N54" s="201">
        <f t="shared" si="35"/>
        <v>2114</v>
      </c>
      <c r="O54" s="201">
        <f t="shared" si="26"/>
        <v>1669</v>
      </c>
      <c r="P54" s="202"/>
      <c r="Q54" s="202"/>
      <c r="R54" s="202"/>
      <c r="S54" s="75" t="s">
        <v>59</v>
      </c>
      <c r="T54" s="202" t="b">
        <f t="shared" si="15"/>
        <v>1</v>
      </c>
      <c r="U54" s="202">
        <f t="shared" si="27"/>
        <v>948</v>
      </c>
      <c r="V54" s="206">
        <f t="shared" si="28"/>
        <v>2835</v>
      </c>
      <c r="W54" s="209">
        <v>2114</v>
      </c>
      <c r="X54" s="202">
        <v>721</v>
      </c>
      <c r="Y54" s="206">
        <f t="shared" si="16"/>
        <v>156</v>
      </c>
      <c r="Z54" s="202">
        <v>124</v>
      </c>
      <c r="AA54" s="202">
        <v>32</v>
      </c>
      <c r="AB54" s="206">
        <f t="shared" si="29"/>
        <v>89</v>
      </c>
      <c r="AC54" s="202">
        <v>66</v>
      </c>
      <c r="AD54" s="202">
        <v>23</v>
      </c>
      <c r="AE54" s="206">
        <f t="shared" si="30"/>
        <v>6.4</v>
      </c>
      <c r="AF54" s="202">
        <v>4.4</v>
      </c>
      <c r="AG54" s="202">
        <v>2</v>
      </c>
      <c r="AH54" s="206">
        <f t="shared" si="31"/>
        <v>885</v>
      </c>
      <c r="AI54" s="202">
        <v>529</v>
      </c>
      <c r="AJ54" s="202">
        <v>356</v>
      </c>
      <c r="AK54" s="206">
        <f t="shared" si="32"/>
        <v>863</v>
      </c>
      <c r="AL54" s="202">
        <v>328</v>
      </c>
      <c r="AM54" s="202">
        <v>535</v>
      </c>
      <c r="AN54" s="206">
        <f t="shared" si="33"/>
        <v>0</v>
      </c>
      <c r="AO54" s="202"/>
      <c r="AP54" s="202"/>
    </row>
    <row r="55" ht="17" customHeight="1" spans="1:42">
      <c r="A55" s="193" t="s">
        <v>60</v>
      </c>
      <c r="B55" s="189">
        <f t="shared" si="19"/>
        <v>5351.4</v>
      </c>
      <c r="C55" s="189">
        <f t="shared" si="20"/>
        <v>3490.1</v>
      </c>
      <c r="D55" s="189">
        <v>55</v>
      </c>
      <c r="E55" s="189">
        <f t="shared" si="21"/>
        <v>1861.3</v>
      </c>
      <c r="F55" s="192">
        <f t="shared" si="22"/>
        <v>2841</v>
      </c>
      <c r="G55" s="186">
        <f t="shared" si="23"/>
        <v>1720.7</v>
      </c>
      <c r="H55" s="189">
        <v>1665.7</v>
      </c>
      <c r="I55" s="189">
        <v>55</v>
      </c>
      <c r="J55" s="189">
        <v>1120.3</v>
      </c>
      <c r="K55" s="199">
        <f t="shared" si="24"/>
        <v>2510.4</v>
      </c>
      <c r="L55" s="199">
        <f t="shared" si="25"/>
        <v>1769.4</v>
      </c>
      <c r="M55" s="201">
        <f t="shared" si="34"/>
        <v>189.4</v>
      </c>
      <c r="N55" s="201">
        <f t="shared" si="35"/>
        <v>1580</v>
      </c>
      <c r="O55" s="199">
        <f t="shared" si="26"/>
        <v>741</v>
      </c>
      <c r="P55" s="200"/>
      <c r="Q55" s="200"/>
      <c r="R55" s="200"/>
      <c r="S55" s="76" t="s">
        <v>60</v>
      </c>
      <c r="T55" s="202" t="b">
        <f t="shared" si="15"/>
        <v>1</v>
      </c>
      <c r="U55" s="202">
        <f t="shared" si="27"/>
        <v>196</v>
      </c>
      <c r="V55" s="206">
        <f t="shared" si="28"/>
        <v>2125</v>
      </c>
      <c r="W55" s="209">
        <v>1580</v>
      </c>
      <c r="X55" s="202">
        <v>545</v>
      </c>
      <c r="Y55" s="206">
        <f t="shared" si="16"/>
        <v>9</v>
      </c>
      <c r="Z55" s="202">
        <v>6</v>
      </c>
      <c r="AA55" s="202">
        <v>3</v>
      </c>
      <c r="AB55" s="206">
        <f t="shared" si="29"/>
        <v>119</v>
      </c>
      <c r="AC55" s="202">
        <v>87</v>
      </c>
      <c r="AD55" s="202">
        <v>32</v>
      </c>
      <c r="AE55" s="206">
        <f t="shared" si="30"/>
        <v>5.4</v>
      </c>
      <c r="AF55" s="202">
        <v>3.4</v>
      </c>
      <c r="AG55" s="202">
        <v>2</v>
      </c>
      <c r="AH55" s="206">
        <f t="shared" si="31"/>
        <v>155</v>
      </c>
      <c r="AI55" s="202">
        <v>93</v>
      </c>
      <c r="AJ55" s="202">
        <v>62</v>
      </c>
      <c r="AK55" s="206">
        <f t="shared" si="32"/>
        <v>97</v>
      </c>
      <c r="AL55" s="202">
        <v>0</v>
      </c>
      <c r="AM55" s="202">
        <v>97</v>
      </c>
      <c r="AN55" s="206">
        <f t="shared" si="33"/>
        <v>0</v>
      </c>
      <c r="AO55" s="202"/>
      <c r="AP55" s="202"/>
    </row>
    <row r="56" ht="17" customHeight="1" spans="1:42">
      <c r="A56" s="191" t="s">
        <v>26</v>
      </c>
      <c r="B56" s="186">
        <f t="shared" si="19"/>
        <v>2005.4</v>
      </c>
      <c r="C56" s="186">
        <f t="shared" si="20"/>
        <v>1363.1</v>
      </c>
      <c r="D56" s="186">
        <v>0</v>
      </c>
      <c r="E56" s="186">
        <f t="shared" si="21"/>
        <v>642.3</v>
      </c>
      <c r="F56" s="192">
        <f t="shared" si="22"/>
        <v>1061</v>
      </c>
      <c r="G56" s="186">
        <f t="shared" si="23"/>
        <v>666.7</v>
      </c>
      <c r="H56" s="186">
        <v>666.7</v>
      </c>
      <c r="I56" s="186">
        <v>0</v>
      </c>
      <c r="J56" s="186">
        <v>394.3</v>
      </c>
      <c r="K56" s="201">
        <f t="shared" si="24"/>
        <v>944.4</v>
      </c>
      <c r="L56" s="201">
        <f t="shared" si="25"/>
        <v>696.4</v>
      </c>
      <c r="M56" s="201">
        <f t="shared" si="34"/>
        <v>93.4</v>
      </c>
      <c r="N56" s="201">
        <f t="shared" si="35"/>
        <v>603</v>
      </c>
      <c r="O56" s="201">
        <f t="shared" si="26"/>
        <v>248</v>
      </c>
      <c r="P56" s="202"/>
      <c r="Q56" s="202"/>
      <c r="R56" s="202"/>
      <c r="S56" s="71" t="s">
        <v>26</v>
      </c>
      <c r="T56" s="202" t="b">
        <f t="shared" si="15"/>
        <v>1</v>
      </c>
      <c r="U56" s="202">
        <f t="shared" si="27"/>
        <v>40</v>
      </c>
      <c r="V56" s="206">
        <f t="shared" si="28"/>
        <v>811</v>
      </c>
      <c r="W56" s="210">
        <v>603</v>
      </c>
      <c r="X56" s="202">
        <v>208</v>
      </c>
      <c r="Y56" s="206">
        <f t="shared" si="16"/>
        <v>3</v>
      </c>
      <c r="Z56" s="202">
        <v>2</v>
      </c>
      <c r="AA56" s="202">
        <v>1</v>
      </c>
      <c r="AB56" s="206">
        <f t="shared" si="29"/>
        <v>95</v>
      </c>
      <c r="AC56" s="202">
        <v>70</v>
      </c>
      <c r="AD56" s="202">
        <v>25</v>
      </c>
      <c r="AE56" s="206">
        <f t="shared" si="30"/>
        <v>5.4</v>
      </c>
      <c r="AF56" s="202">
        <v>3.4</v>
      </c>
      <c r="AG56" s="202">
        <v>2</v>
      </c>
      <c r="AH56" s="206">
        <f t="shared" si="31"/>
        <v>30</v>
      </c>
      <c r="AI56" s="202">
        <v>18</v>
      </c>
      <c r="AJ56" s="202">
        <v>12</v>
      </c>
      <c r="AK56" s="206">
        <f t="shared" si="32"/>
        <v>0</v>
      </c>
      <c r="AL56" s="202">
        <v>0</v>
      </c>
      <c r="AM56" s="202">
        <v>0</v>
      </c>
      <c r="AN56" s="206">
        <f t="shared" si="33"/>
        <v>0</v>
      </c>
      <c r="AO56" s="202"/>
      <c r="AP56" s="202"/>
    </row>
    <row r="57" ht="17" customHeight="1" spans="1:42">
      <c r="A57" s="191" t="s">
        <v>61</v>
      </c>
      <c r="B57" s="186">
        <f t="shared" si="19"/>
        <v>2633</v>
      </c>
      <c r="C57" s="186">
        <f t="shared" si="20"/>
        <v>1716</v>
      </c>
      <c r="D57" s="186">
        <v>51</v>
      </c>
      <c r="E57" s="186">
        <f t="shared" si="21"/>
        <v>917</v>
      </c>
      <c r="F57" s="192">
        <f t="shared" si="22"/>
        <v>1351</v>
      </c>
      <c r="G57" s="186">
        <f t="shared" si="23"/>
        <v>851</v>
      </c>
      <c r="H57" s="186">
        <v>800</v>
      </c>
      <c r="I57" s="186">
        <v>51</v>
      </c>
      <c r="J57" s="186">
        <v>500</v>
      </c>
      <c r="K57" s="201">
        <f t="shared" si="24"/>
        <v>1282</v>
      </c>
      <c r="L57" s="201">
        <f t="shared" si="25"/>
        <v>865</v>
      </c>
      <c r="M57" s="201">
        <f t="shared" si="34"/>
        <v>75</v>
      </c>
      <c r="N57" s="201">
        <f t="shared" si="35"/>
        <v>790</v>
      </c>
      <c r="O57" s="201">
        <f t="shared" si="26"/>
        <v>417</v>
      </c>
      <c r="P57" s="202"/>
      <c r="Q57" s="202"/>
      <c r="R57" s="202"/>
      <c r="S57" s="71" t="s">
        <v>61</v>
      </c>
      <c r="T57" s="202" t="b">
        <f t="shared" si="15"/>
        <v>1</v>
      </c>
      <c r="U57" s="202">
        <f t="shared" si="27"/>
        <v>145</v>
      </c>
      <c r="V57" s="206">
        <f t="shared" si="28"/>
        <v>1062</v>
      </c>
      <c r="W57" s="209">
        <v>790</v>
      </c>
      <c r="X57" s="202">
        <v>272</v>
      </c>
      <c r="Y57" s="206">
        <f t="shared" si="16"/>
        <v>3</v>
      </c>
      <c r="Z57" s="202">
        <v>2</v>
      </c>
      <c r="AA57" s="202">
        <v>1</v>
      </c>
      <c r="AB57" s="206">
        <f t="shared" si="29"/>
        <v>13</v>
      </c>
      <c r="AC57" s="202">
        <v>9</v>
      </c>
      <c r="AD57" s="202">
        <v>4</v>
      </c>
      <c r="AE57" s="206">
        <f t="shared" si="30"/>
        <v>0</v>
      </c>
      <c r="AF57" s="202">
        <v>0</v>
      </c>
      <c r="AG57" s="202">
        <v>0</v>
      </c>
      <c r="AH57" s="206">
        <f t="shared" si="31"/>
        <v>107</v>
      </c>
      <c r="AI57" s="202">
        <v>64</v>
      </c>
      <c r="AJ57" s="202">
        <v>43</v>
      </c>
      <c r="AK57" s="206">
        <f t="shared" si="32"/>
        <v>97</v>
      </c>
      <c r="AL57" s="202">
        <v>0</v>
      </c>
      <c r="AM57" s="202">
        <v>97</v>
      </c>
      <c r="AN57" s="206">
        <f t="shared" si="33"/>
        <v>0</v>
      </c>
      <c r="AO57" s="202"/>
      <c r="AP57" s="202"/>
    </row>
    <row r="58" ht="17" customHeight="1" spans="1:42">
      <c r="A58" s="191" t="s">
        <v>62</v>
      </c>
      <c r="B58" s="186">
        <f t="shared" si="19"/>
        <v>600</v>
      </c>
      <c r="C58" s="186">
        <f t="shared" si="20"/>
        <v>400</v>
      </c>
      <c r="D58" s="186">
        <v>4</v>
      </c>
      <c r="E58" s="186">
        <f t="shared" si="21"/>
        <v>200</v>
      </c>
      <c r="F58" s="192">
        <f t="shared" si="22"/>
        <v>325</v>
      </c>
      <c r="G58" s="186">
        <f t="shared" si="23"/>
        <v>198</v>
      </c>
      <c r="H58" s="186">
        <v>194</v>
      </c>
      <c r="I58" s="186">
        <v>4</v>
      </c>
      <c r="J58" s="186">
        <v>127</v>
      </c>
      <c r="K58" s="201">
        <f t="shared" si="24"/>
        <v>275</v>
      </c>
      <c r="L58" s="201">
        <f t="shared" si="25"/>
        <v>202</v>
      </c>
      <c r="M58" s="201">
        <f t="shared" si="34"/>
        <v>19</v>
      </c>
      <c r="N58" s="201">
        <f t="shared" si="35"/>
        <v>183</v>
      </c>
      <c r="O58" s="201">
        <f t="shared" si="26"/>
        <v>73</v>
      </c>
      <c r="P58" s="202"/>
      <c r="Q58" s="202"/>
      <c r="R58" s="202"/>
      <c r="S58" s="71" t="s">
        <v>62</v>
      </c>
      <c r="T58" s="202" t="b">
        <f t="shared" si="15"/>
        <v>1</v>
      </c>
      <c r="U58" s="202">
        <f t="shared" si="27"/>
        <v>10</v>
      </c>
      <c r="V58" s="206">
        <f t="shared" si="28"/>
        <v>246</v>
      </c>
      <c r="W58" s="209">
        <v>183</v>
      </c>
      <c r="X58" s="202">
        <v>63</v>
      </c>
      <c r="Y58" s="206">
        <f t="shared" si="16"/>
        <v>3</v>
      </c>
      <c r="Z58" s="202">
        <v>2</v>
      </c>
      <c r="AA58" s="202">
        <v>1</v>
      </c>
      <c r="AB58" s="206">
        <f t="shared" si="29"/>
        <v>10</v>
      </c>
      <c r="AC58" s="202">
        <v>7</v>
      </c>
      <c r="AD58" s="202">
        <v>3</v>
      </c>
      <c r="AE58" s="206">
        <f t="shared" si="30"/>
        <v>0</v>
      </c>
      <c r="AF58" s="202">
        <v>0</v>
      </c>
      <c r="AG58" s="202">
        <v>0</v>
      </c>
      <c r="AH58" s="206">
        <f t="shared" si="31"/>
        <v>16</v>
      </c>
      <c r="AI58" s="202">
        <v>10</v>
      </c>
      <c r="AJ58" s="202">
        <v>6</v>
      </c>
      <c r="AK58" s="206">
        <f t="shared" si="32"/>
        <v>0</v>
      </c>
      <c r="AL58" s="202">
        <v>0</v>
      </c>
      <c r="AM58" s="202">
        <v>0</v>
      </c>
      <c r="AN58" s="206">
        <f t="shared" si="33"/>
        <v>0</v>
      </c>
      <c r="AO58" s="202"/>
      <c r="AP58" s="202"/>
    </row>
    <row r="59" ht="17" customHeight="1" spans="1:42">
      <c r="A59" s="191" t="s">
        <v>63</v>
      </c>
      <c r="B59" s="186">
        <f t="shared" si="19"/>
        <v>17</v>
      </c>
      <c r="C59" s="186">
        <f t="shared" si="20"/>
        <v>11</v>
      </c>
      <c r="D59" s="186">
        <v>0</v>
      </c>
      <c r="E59" s="186">
        <f t="shared" si="21"/>
        <v>6</v>
      </c>
      <c r="F59" s="192">
        <f t="shared" si="22"/>
        <v>8</v>
      </c>
      <c r="G59" s="186">
        <f t="shared" si="23"/>
        <v>5</v>
      </c>
      <c r="H59" s="186">
        <v>5</v>
      </c>
      <c r="I59" s="186">
        <v>0</v>
      </c>
      <c r="J59" s="186">
        <v>3</v>
      </c>
      <c r="K59" s="201">
        <f t="shared" si="24"/>
        <v>9</v>
      </c>
      <c r="L59" s="201">
        <f t="shared" si="25"/>
        <v>6</v>
      </c>
      <c r="M59" s="201">
        <f t="shared" si="34"/>
        <v>2</v>
      </c>
      <c r="N59" s="201">
        <f t="shared" si="35"/>
        <v>4</v>
      </c>
      <c r="O59" s="201">
        <f t="shared" si="26"/>
        <v>3</v>
      </c>
      <c r="P59" s="202"/>
      <c r="Q59" s="202"/>
      <c r="R59" s="202"/>
      <c r="S59" s="71" t="s">
        <v>63</v>
      </c>
      <c r="T59" s="202" t="b">
        <f t="shared" si="15"/>
        <v>1</v>
      </c>
      <c r="U59" s="202">
        <f t="shared" si="27"/>
        <v>1</v>
      </c>
      <c r="V59" s="206">
        <f t="shared" si="28"/>
        <v>6</v>
      </c>
      <c r="W59" s="209">
        <v>4</v>
      </c>
      <c r="X59" s="202">
        <v>2</v>
      </c>
      <c r="Y59" s="206">
        <f t="shared" si="16"/>
        <v>0</v>
      </c>
      <c r="Z59" s="202">
        <v>0</v>
      </c>
      <c r="AA59" s="202">
        <v>0</v>
      </c>
      <c r="AB59" s="206">
        <f t="shared" si="29"/>
        <v>1</v>
      </c>
      <c r="AC59" s="202">
        <v>1</v>
      </c>
      <c r="AD59" s="202">
        <v>0</v>
      </c>
      <c r="AE59" s="206">
        <f t="shared" si="30"/>
        <v>0</v>
      </c>
      <c r="AF59" s="202">
        <v>0</v>
      </c>
      <c r="AG59" s="202">
        <v>0</v>
      </c>
      <c r="AH59" s="206">
        <f t="shared" si="31"/>
        <v>2</v>
      </c>
      <c r="AI59" s="202">
        <v>1</v>
      </c>
      <c r="AJ59" s="202">
        <v>1</v>
      </c>
      <c r="AK59" s="206">
        <f t="shared" si="32"/>
        <v>0</v>
      </c>
      <c r="AL59" s="202">
        <v>0</v>
      </c>
      <c r="AM59" s="202">
        <v>0</v>
      </c>
      <c r="AN59" s="206">
        <f t="shared" si="33"/>
        <v>0</v>
      </c>
      <c r="AO59" s="202"/>
      <c r="AP59" s="202"/>
    </row>
    <row r="60" ht="17" customHeight="1" spans="1:42">
      <c r="A60" s="191" t="s">
        <v>64</v>
      </c>
      <c r="B60" s="186">
        <f t="shared" si="19"/>
        <v>7854</v>
      </c>
      <c r="C60" s="186">
        <f t="shared" si="20"/>
        <v>4671</v>
      </c>
      <c r="D60" s="186">
        <v>130</v>
      </c>
      <c r="E60" s="186">
        <f t="shared" si="21"/>
        <v>3183</v>
      </c>
      <c r="F60" s="192">
        <f t="shared" si="22"/>
        <v>3816</v>
      </c>
      <c r="G60" s="186">
        <f t="shared" si="23"/>
        <v>2382</v>
      </c>
      <c r="H60" s="186">
        <v>2252</v>
      </c>
      <c r="I60" s="186">
        <v>130</v>
      </c>
      <c r="J60" s="186">
        <v>1434</v>
      </c>
      <c r="K60" s="201">
        <f t="shared" si="24"/>
        <v>4038</v>
      </c>
      <c r="L60" s="201">
        <f t="shared" si="25"/>
        <v>2289</v>
      </c>
      <c r="M60" s="201">
        <f t="shared" si="34"/>
        <v>568</v>
      </c>
      <c r="N60" s="201">
        <f t="shared" si="35"/>
        <v>1721</v>
      </c>
      <c r="O60" s="201">
        <f t="shared" si="26"/>
        <v>1749</v>
      </c>
      <c r="P60" s="202"/>
      <c r="Q60" s="202"/>
      <c r="R60" s="202"/>
      <c r="S60" s="75" t="s">
        <v>64</v>
      </c>
      <c r="T60" s="202" t="b">
        <f t="shared" si="15"/>
        <v>1</v>
      </c>
      <c r="U60" s="202">
        <f t="shared" si="27"/>
        <v>1163</v>
      </c>
      <c r="V60" s="206">
        <f t="shared" si="28"/>
        <v>2307</v>
      </c>
      <c r="W60" s="209">
        <v>1721</v>
      </c>
      <c r="X60" s="202">
        <v>586</v>
      </c>
      <c r="Y60" s="206">
        <f t="shared" si="16"/>
        <v>31</v>
      </c>
      <c r="Z60" s="202">
        <v>21</v>
      </c>
      <c r="AA60" s="202">
        <v>10</v>
      </c>
      <c r="AB60" s="206">
        <f t="shared" si="29"/>
        <v>89</v>
      </c>
      <c r="AC60" s="202">
        <v>66</v>
      </c>
      <c r="AD60" s="202">
        <v>23</v>
      </c>
      <c r="AE60" s="206">
        <f t="shared" si="30"/>
        <v>0</v>
      </c>
      <c r="AF60" s="202">
        <v>0</v>
      </c>
      <c r="AG60" s="202">
        <v>0</v>
      </c>
      <c r="AH60" s="206">
        <f t="shared" si="31"/>
        <v>805</v>
      </c>
      <c r="AI60" s="202">
        <v>481</v>
      </c>
      <c r="AJ60" s="202">
        <v>324</v>
      </c>
      <c r="AK60" s="206">
        <f t="shared" si="32"/>
        <v>806</v>
      </c>
      <c r="AL60" s="202">
        <v>0</v>
      </c>
      <c r="AM60" s="202">
        <v>806</v>
      </c>
      <c r="AN60" s="206">
        <f t="shared" si="33"/>
        <v>0</v>
      </c>
      <c r="AO60" s="202"/>
      <c r="AP60" s="202"/>
    </row>
    <row r="61" ht="17" customHeight="1" spans="1:42">
      <c r="A61" s="191" t="s">
        <v>65</v>
      </c>
      <c r="B61" s="186">
        <f t="shared" si="19"/>
        <v>5848</v>
      </c>
      <c r="C61" s="186">
        <f t="shared" si="20"/>
        <v>3383</v>
      </c>
      <c r="D61" s="186">
        <v>97</v>
      </c>
      <c r="E61" s="186">
        <f t="shared" si="21"/>
        <v>2465</v>
      </c>
      <c r="F61" s="192">
        <f t="shared" si="22"/>
        <v>2929</v>
      </c>
      <c r="G61" s="186">
        <f t="shared" si="23"/>
        <v>1744</v>
      </c>
      <c r="H61" s="186">
        <v>1647</v>
      </c>
      <c r="I61" s="186">
        <v>97</v>
      </c>
      <c r="J61" s="186">
        <v>1185</v>
      </c>
      <c r="K61" s="201">
        <f t="shared" si="24"/>
        <v>2919</v>
      </c>
      <c r="L61" s="201">
        <f t="shared" si="25"/>
        <v>1639</v>
      </c>
      <c r="M61" s="201">
        <f t="shared" si="34"/>
        <v>422</v>
      </c>
      <c r="N61" s="201">
        <f t="shared" si="35"/>
        <v>1217</v>
      </c>
      <c r="O61" s="201">
        <f t="shared" si="26"/>
        <v>1280</v>
      </c>
      <c r="P61" s="202"/>
      <c r="Q61" s="202"/>
      <c r="R61" s="202"/>
      <c r="S61" s="75" t="s">
        <v>65</v>
      </c>
      <c r="T61" s="202" t="b">
        <f t="shared" si="15"/>
        <v>1</v>
      </c>
      <c r="U61" s="202">
        <f t="shared" si="27"/>
        <v>865</v>
      </c>
      <c r="V61" s="206">
        <f t="shared" si="28"/>
        <v>1632</v>
      </c>
      <c r="W61" s="209">
        <v>1217</v>
      </c>
      <c r="X61" s="202">
        <v>415</v>
      </c>
      <c r="Y61" s="206">
        <f t="shared" si="16"/>
        <v>39</v>
      </c>
      <c r="Z61" s="202">
        <v>27</v>
      </c>
      <c r="AA61" s="202">
        <v>12</v>
      </c>
      <c r="AB61" s="206">
        <f t="shared" si="29"/>
        <v>72</v>
      </c>
      <c r="AC61" s="202">
        <v>53</v>
      </c>
      <c r="AD61" s="202">
        <v>19</v>
      </c>
      <c r="AE61" s="206">
        <f t="shared" si="30"/>
        <v>0</v>
      </c>
      <c r="AF61" s="202">
        <v>0</v>
      </c>
      <c r="AG61" s="202">
        <v>0</v>
      </c>
      <c r="AH61" s="206">
        <f t="shared" si="31"/>
        <v>572</v>
      </c>
      <c r="AI61" s="202">
        <v>342</v>
      </c>
      <c r="AJ61" s="202">
        <v>230</v>
      </c>
      <c r="AK61" s="206">
        <f t="shared" si="32"/>
        <v>604</v>
      </c>
      <c r="AL61" s="202">
        <v>0</v>
      </c>
      <c r="AM61" s="202">
        <v>604</v>
      </c>
      <c r="AN61" s="206">
        <f t="shared" si="33"/>
        <v>0</v>
      </c>
      <c r="AO61" s="202"/>
      <c r="AP61" s="202"/>
    </row>
    <row r="62" ht="17" customHeight="1" spans="1:42">
      <c r="A62" s="193" t="s">
        <v>66</v>
      </c>
      <c r="B62" s="189">
        <f t="shared" si="19"/>
        <v>5113.6</v>
      </c>
      <c r="C62" s="189">
        <f t="shared" si="20"/>
        <v>3213.1</v>
      </c>
      <c r="D62" s="189">
        <v>41</v>
      </c>
      <c r="E62" s="189">
        <f t="shared" si="21"/>
        <v>1900.5</v>
      </c>
      <c r="F62" s="192">
        <f t="shared" si="22"/>
        <v>2744.5</v>
      </c>
      <c r="G62" s="186">
        <f t="shared" si="23"/>
        <v>1588</v>
      </c>
      <c r="H62" s="189">
        <v>1547</v>
      </c>
      <c r="I62" s="189">
        <v>41</v>
      </c>
      <c r="J62" s="189">
        <v>1156.5</v>
      </c>
      <c r="K62" s="199">
        <f t="shared" si="24"/>
        <v>2369.1</v>
      </c>
      <c r="L62" s="199">
        <f t="shared" si="25"/>
        <v>1625.1</v>
      </c>
      <c r="M62" s="201">
        <f t="shared" si="34"/>
        <v>152.1</v>
      </c>
      <c r="N62" s="201">
        <f t="shared" si="35"/>
        <v>1473</v>
      </c>
      <c r="O62" s="199">
        <f t="shared" si="26"/>
        <v>744</v>
      </c>
      <c r="P62" s="200"/>
      <c r="Q62" s="200"/>
      <c r="R62" s="200"/>
      <c r="S62" s="76" t="s">
        <v>66</v>
      </c>
      <c r="T62" s="202" t="b">
        <f t="shared" si="15"/>
        <v>1</v>
      </c>
      <c r="U62" s="202">
        <f t="shared" si="27"/>
        <v>234</v>
      </c>
      <c r="V62" s="206">
        <f t="shared" si="28"/>
        <v>1983</v>
      </c>
      <c r="W62" s="209">
        <v>1473</v>
      </c>
      <c r="X62" s="202">
        <v>510</v>
      </c>
      <c r="Y62" s="206">
        <f t="shared" si="16"/>
        <v>9</v>
      </c>
      <c r="Z62" s="202">
        <v>6</v>
      </c>
      <c r="AA62" s="202">
        <v>3</v>
      </c>
      <c r="AB62" s="206">
        <f t="shared" si="29"/>
        <v>94</v>
      </c>
      <c r="AC62" s="202">
        <v>69</v>
      </c>
      <c r="AD62" s="202">
        <v>25</v>
      </c>
      <c r="AE62" s="206">
        <f t="shared" si="30"/>
        <v>2.1</v>
      </c>
      <c r="AF62" s="202">
        <v>1.1</v>
      </c>
      <c r="AG62" s="202">
        <v>1</v>
      </c>
      <c r="AH62" s="206">
        <f t="shared" si="31"/>
        <v>128</v>
      </c>
      <c r="AI62" s="202">
        <v>76</v>
      </c>
      <c r="AJ62" s="202">
        <v>52</v>
      </c>
      <c r="AK62" s="206">
        <f t="shared" si="32"/>
        <v>153</v>
      </c>
      <c r="AL62" s="202">
        <v>0</v>
      </c>
      <c r="AM62" s="202">
        <v>153</v>
      </c>
      <c r="AN62" s="206">
        <f t="shared" si="33"/>
        <v>0</v>
      </c>
      <c r="AO62" s="202"/>
      <c r="AP62" s="202"/>
    </row>
    <row r="63" ht="17" customHeight="1" spans="1:42">
      <c r="A63" s="191" t="s">
        <v>26</v>
      </c>
      <c r="B63" s="186">
        <f t="shared" si="19"/>
        <v>2122.6</v>
      </c>
      <c r="C63" s="186">
        <f t="shared" si="20"/>
        <v>1418.1</v>
      </c>
      <c r="D63" s="186">
        <v>0</v>
      </c>
      <c r="E63" s="186">
        <f t="shared" si="21"/>
        <v>704.5</v>
      </c>
      <c r="F63" s="192">
        <f t="shared" si="22"/>
        <v>1150.5</v>
      </c>
      <c r="G63" s="186">
        <f t="shared" si="23"/>
        <v>698</v>
      </c>
      <c r="H63" s="186">
        <v>698</v>
      </c>
      <c r="I63" s="186">
        <v>0</v>
      </c>
      <c r="J63" s="186">
        <v>452.5</v>
      </c>
      <c r="K63" s="201">
        <f t="shared" si="24"/>
        <v>972.1</v>
      </c>
      <c r="L63" s="201">
        <f t="shared" si="25"/>
        <v>720.1</v>
      </c>
      <c r="M63" s="201">
        <f t="shared" si="34"/>
        <v>36.1</v>
      </c>
      <c r="N63" s="201">
        <f t="shared" si="35"/>
        <v>684</v>
      </c>
      <c r="O63" s="201">
        <f t="shared" si="26"/>
        <v>252</v>
      </c>
      <c r="P63" s="202"/>
      <c r="Q63" s="202"/>
      <c r="R63" s="202"/>
      <c r="S63" s="71" t="s">
        <v>26</v>
      </c>
      <c r="T63" s="202" t="b">
        <f t="shared" si="15"/>
        <v>1</v>
      </c>
      <c r="U63" s="202">
        <f t="shared" si="27"/>
        <v>15</v>
      </c>
      <c r="V63" s="206">
        <f t="shared" si="28"/>
        <v>921</v>
      </c>
      <c r="W63" s="210">
        <v>684</v>
      </c>
      <c r="X63" s="202">
        <v>237</v>
      </c>
      <c r="Y63" s="206">
        <f t="shared" si="16"/>
        <v>4</v>
      </c>
      <c r="Z63" s="202">
        <v>3</v>
      </c>
      <c r="AA63" s="202">
        <v>1</v>
      </c>
      <c r="AB63" s="206">
        <f t="shared" si="29"/>
        <v>38</v>
      </c>
      <c r="AC63" s="202">
        <v>28</v>
      </c>
      <c r="AD63" s="202">
        <v>10</v>
      </c>
      <c r="AE63" s="206">
        <f t="shared" si="30"/>
        <v>2.1</v>
      </c>
      <c r="AF63" s="202">
        <v>1.1</v>
      </c>
      <c r="AG63" s="202">
        <v>1</v>
      </c>
      <c r="AH63" s="206">
        <f t="shared" si="31"/>
        <v>7</v>
      </c>
      <c r="AI63" s="202">
        <v>4</v>
      </c>
      <c r="AJ63" s="202">
        <v>3</v>
      </c>
      <c r="AK63" s="206">
        <f t="shared" si="32"/>
        <v>0</v>
      </c>
      <c r="AL63" s="202">
        <v>0</v>
      </c>
      <c r="AM63" s="202">
        <v>0</v>
      </c>
      <c r="AN63" s="206">
        <f t="shared" si="33"/>
        <v>0</v>
      </c>
      <c r="AO63" s="202"/>
      <c r="AP63" s="202"/>
    </row>
    <row r="64" ht="17" customHeight="1" spans="1:42">
      <c r="A64" s="191" t="s">
        <v>67</v>
      </c>
      <c r="B64" s="186">
        <f t="shared" si="19"/>
        <v>2692</v>
      </c>
      <c r="C64" s="186">
        <f t="shared" si="20"/>
        <v>1583</v>
      </c>
      <c r="D64" s="186">
        <v>34</v>
      </c>
      <c r="E64" s="186">
        <f t="shared" si="21"/>
        <v>1109</v>
      </c>
      <c r="F64" s="192">
        <f t="shared" si="22"/>
        <v>1441</v>
      </c>
      <c r="G64" s="186">
        <f t="shared" si="23"/>
        <v>780</v>
      </c>
      <c r="H64" s="186">
        <v>746</v>
      </c>
      <c r="I64" s="186">
        <v>34</v>
      </c>
      <c r="J64" s="186">
        <v>661</v>
      </c>
      <c r="K64" s="201">
        <f t="shared" si="24"/>
        <v>1251</v>
      </c>
      <c r="L64" s="201">
        <f t="shared" si="25"/>
        <v>803</v>
      </c>
      <c r="M64" s="201">
        <f t="shared" si="34"/>
        <v>87</v>
      </c>
      <c r="N64" s="201">
        <f t="shared" si="35"/>
        <v>716</v>
      </c>
      <c r="O64" s="201">
        <f t="shared" si="26"/>
        <v>448</v>
      </c>
      <c r="P64" s="202"/>
      <c r="Q64" s="202"/>
      <c r="R64" s="202"/>
      <c r="S64" s="71" t="s">
        <v>67</v>
      </c>
      <c r="T64" s="202" t="b">
        <f t="shared" si="15"/>
        <v>1</v>
      </c>
      <c r="U64" s="202">
        <f t="shared" si="27"/>
        <v>201</v>
      </c>
      <c r="V64" s="206">
        <f t="shared" si="28"/>
        <v>963</v>
      </c>
      <c r="W64" s="209">
        <v>716</v>
      </c>
      <c r="X64" s="202">
        <v>247</v>
      </c>
      <c r="Y64" s="206">
        <f t="shared" si="16"/>
        <v>3</v>
      </c>
      <c r="Z64" s="202">
        <v>2</v>
      </c>
      <c r="AA64" s="202">
        <v>1</v>
      </c>
      <c r="AB64" s="206">
        <f t="shared" si="29"/>
        <v>45</v>
      </c>
      <c r="AC64" s="202">
        <v>33</v>
      </c>
      <c r="AD64" s="202">
        <v>12</v>
      </c>
      <c r="AE64" s="206">
        <f t="shared" si="30"/>
        <v>0</v>
      </c>
      <c r="AF64" s="202">
        <v>0</v>
      </c>
      <c r="AG64" s="202">
        <v>0</v>
      </c>
      <c r="AH64" s="206">
        <f t="shared" si="31"/>
        <v>87</v>
      </c>
      <c r="AI64" s="202">
        <v>52</v>
      </c>
      <c r="AJ64" s="202">
        <v>35</v>
      </c>
      <c r="AK64" s="206">
        <f t="shared" si="32"/>
        <v>153</v>
      </c>
      <c r="AL64" s="202">
        <v>0</v>
      </c>
      <c r="AM64" s="202">
        <v>153</v>
      </c>
      <c r="AN64" s="206">
        <f t="shared" si="33"/>
        <v>0</v>
      </c>
      <c r="AO64" s="202"/>
      <c r="AP64" s="202"/>
    </row>
    <row r="65" ht="17" customHeight="1" spans="1:42">
      <c r="A65" s="191" t="s">
        <v>68</v>
      </c>
      <c r="B65" s="186">
        <f t="shared" si="19"/>
        <v>299</v>
      </c>
      <c r="C65" s="186">
        <f t="shared" si="20"/>
        <v>212</v>
      </c>
      <c r="D65" s="186">
        <v>7</v>
      </c>
      <c r="E65" s="186">
        <f t="shared" si="21"/>
        <v>87</v>
      </c>
      <c r="F65" s="192">
        <f t="shared" si="22"/>
        <v>153</v>
      </c>
      <c r="G65" s="186">
        <f t="shared" si="23"/>
        <v>110</v>
      </c>
      <c r="H65" s="186">
        <v>103</v>
      </c>
      <c r="I65" s="186">
        <v>7</v>
      </c>
      <c r="J65" s="186">
        <v>43</v>
      </c>
      <c r="K65" s="201">
        <f t="shared" si="24"/>
        <v>146</v>
      </c>
      <c r="L65" s="201">
        <f t="shared" si="25"/>
        <v>102</v>
      </c>
      <c r="M65" s="201">
        <f t="shared" si="34"/>
        <v>29</v>
      </c>
      <c r="N65" s="201">
        <f t="shared" si="35"/>
        <v>73</v>
      </c>
      <c r="O65" s="201">
        <f t="shared" si="26"/>
        <v>44</v>
      </c>
      <c r="P65" s="202"/>
      <c r="Q65" s="202"/>
      <c r="R65" s="202"/>
      <c r="S65" s="71" t="s">
        <v>68</v>
      </c>
      <c r="T65" s="202" t="b">
        <f t="shared" si="15"/>
        <v>1</v>
      </c>
      <c r="U65" s="202">
        <f t="shared" si="27"/>
        <v>18</v>
      </c>
      <c r="V65" s="206">
        <f t="shared" si="28"/>
        <v>99</v>
      </c>
      <c r="W65" s="209">
        <v>73</v>
      </c>
      <c r="X65" s="202">
        <v>26</v>
      </c>
      <c r="Y65" s="206">
        <f t="shared" si="16"/>
        <v>2</v>
      </c>
      <c r="Z65" s="202">
        <v>1</v>
      </c>
      <c r="AA65" s="202">
        <v>1</v>
      </c>
      <c r="AB65" s="206">
        <f t="shared" si="29"/>
        <v>11</v>
      </c>
      <c r="AC65" s="202">
        <v>8</v>
      </c>
      <c r="AD65" s="202">
        <v>3</v>
      </c>
      <c r="AE65" s="206">
        <f t="shared" si="30"/>
        <v>0</v>
      </c>
      <c r="AF65" s="202">
        <v>0</v>
      </c>
      <c r="AG65" s="202">
        <v>0</v>
      </c>
      <c r="AH65" s="206">
        <f t="shared" si="31"/>
        <v>34</v>
      </c>
      <c r="AI65" s="202">
        <v>20</v>
      </c>
      <c r="AJ65" s="202">
        <v>14</v>
      </c>
      <c r="AK65" s="206">
        <f t="shared" si="32"/>
        <v>0</v>
      </c>
      <c r="AL65" s="202">
        <v>0</v>
      </c>
      <c r="AM65" s="202">
        <v>0</v>
      </c>
      <c r="AN65" s="206">
        <f t="shared" si="33"/>
        <v>0</v>
      </c>
      <c r="AO65" s="202"/>
      <c r="AP65" s="202"/>
    </row>
    <row r="66" ht="17" customHeight="1" spans="1:42">
      <c r="A66" s="191" t="s">
        <v>69</v>
      </c>
      <c r="B66" s="186">
        <f t="shared" si="19"/>
        <v>3725</v>
      </c>
      <c r="C66" s="186">
        <f t="shared" si="20"/>
        <v>2372</v>
      </c>
      <c r="D66" s="186">
        <v>62</v>
      </c>
      <c r="E66" s="186">
        <f t="shared" si="21"/>
        <v>1353</v>
      </c>
      <c r="F66" s="192">
        <f t="shared" si="22"/>
        <v>1912</v>
      </c>
      <c r="G66" s="186">
        <f t="shared" si="23"/>
        <v>1212</v>
      </c>
      <c r="H66" s="186">
        <v>1150</v>
      </c>
      <c r="I66" s="186">
        <v>62</v>
      </c>
      <c r="J66" s="186">
        <v>700</v>
      </c>
      <c r="K66" s="201">
        <f t="shared" si="24"/>
        <v>1813</v>
      </c>
      <c r="L66" s="201">
        <f t="shared" si="25"/>
        <v>1160</v>
      </c>
      <c r="M66" s="201">
        <f t="shared" si="34"/>
        <v>340</v>
      </c>
      <c r="N66" s="201">
        <f t="shared" si="35"/>
        <v>820</v>
      </c>
      <c r="O66" s="201">
        <f t="shared" si="26"/>
        <v>653</v>
      </c>
      <c r="P66" s="202"/>
      <c r="Q66" s="202"/>
      <c r="R66" s="202"/>
      <c r="S66" s="75" t="s">
        <v>69</v>
      </c>
      <c r="T66" s="202" t="b">
        <f t="shared" si="15"/>
        <v>1</v>
      </c>
      <c r="U66" s="202">
        <f t="shared" si="27"/>
        <v>374</v>
      </c>
      <c r="V66" s="206">
        <f t="shared" si="28"/>
        <v>1099</v>
      </c>
      <c r="W66" s="209">
        <v>820</v>
      </c>
      <c r="X66" s="202">
        <v>279</v>
      </c>
      <c r="Y66" s="206">
        <f t="shared" si="16"/>
        <v>53</v>
      </c>
      <c r="Z66" s="202">
        <v>37</v>
      </c>
      <c r="AA66" s="202">
        <v>16</v>
      </c>
      <c r="AB66" s="206">
        <f t="shared" si="29"/>
        <v>75</v>
      </c>
      <c r="AC66" s="202">
        <v>55</v>
      </c>
      <c r="AD66" s="202">
        <v>20</v>
      </c>
      <c r="AE66" s="206">
        <f t="shared" si="30"/>
        <v>0</v>
      </c>
      <c r="AF66" s="202">
        <v>0</v>
      </c>
      <c r="AG66" s="202">
        <v>0</v>
      </c>
      <c r="AH66" s="206">
        <f t="shared" si="31"/>
        <v>415</v>
      </c>
      <c r="AI66" s="202">
        <v>248</v>
      </c>
      <c r="AJ66" s="202">
        <v>167</v>
      </c>
      <c r="AK66" s="206">
        <f t="shared" si="32"/>
        <v>171</v>
      </c>
      <c r="AL66" s="202">
        <v>0</v>
      </c>
      <c r="AM66" s="202">
        <v>171</v>
      </c>
      <c r="AN66" s="206">
        <f t="shared" si="33"/>
        <v>0</v>
      </c>
      <c r="AO66" s="202"/>
      <c r="AP66" s="202"/>
    </row>
    <row r="67" ht="17" customHeight="1" spans="1:42">
      <c r="A67" s="191" t="s">
        <v>70</v>
      </c>
      <c r="B67" s="186">
        <f t="shared" si="19"/>
        <v>6564.9</v>
      </c>
      <c r="C67" s="186">
        <f t="shared" si="20"/>
        <v>5042.9</v>
      </c>
      <c r="D67" s="186">
        <v>126</v>
      </c>
      <c r="E67" s="186">
        <f t="shared" si="21"/>
        <v>1522</v>
      </c>
      <c r="F67" s="192">
        <f t="shared" si="22"/>
        <v>3351</v>
      </c>
      <c r="G67" s="186">
        <f t="shared" si="23"/>
        <v>2607</v>
      </c>
      <c r="H67" s="186">
        <v>2481</v>
      </c>
      <c r="I67" s="186">
        <v>126</v>
      </c>
      <c r="J67" s="186">
        <v>744</v>
      </c>
      <c r="K67" s="201">
        <f t="shared" si="24"/>
        <v>3213.9</v>
      </c>
      <c r="L67" s="201">
        <f t="shared" si="25"/>
        <v>2435.9</v>
      </c>
      <c r="M67" s="201">
        <f t="shared" si="34"/>
        <v>1115.9</v>
      </c>
      <c r="N67" s="201">
        <f t="shared" si="35"/>
        <v>1320</v>
      </c>
      <c r="O67" s="201">
        <f t="shared" si="26"/>
        <v>778</v>
      </c>
      <c r="P67" s="202"/>
      <c r="Q67" s="202"/>
      <c r="R67" s="202"/>
      <c r="S67" s="75" t="s">
        <v>70</v>
      </c>
      <c r="T67" s="202" t="b">
        <f t="shared" si="15"/>
        <v>1</v>
      </c>
      <c r="U67" s="202">
        <f t="shared" si="27"/>
        <v>328</v>
      </c>
      <c r="V67" s="206">
        <f t="shared" si="28"/>
        <v>1770</v>
      </c>
      <c r="W67" s="209">
        <v>1320</v>
      </c>
      <c r="X67" s="202">
        <v>450</v>
      </c>
      <c r="Y67" s="206">
        <f t="shared" si="16"/>
        <v>171</v>
      </c>
      <c r="Z67" s="202">
        <v>118</v>
      </c>
      <c r="AA67" s="202">
        <v>53</v>
      </c>
      <c r="AB67" s="206">
        <f t="shared" si="29"/>
        <v>88</v>
      </c>
      <c r="AC67" s="202">
        <v>65</v>
      </c>
      <c r="AD67" s="202">
        <v>23</v>
      </c>
      <c r="AE67" s="206">
        <f t="shared" si="30"/>
        <v>0.9</v>
      </c>
      <c r="AF67" s="202">
        <v>0.9</v>
      </c>
      <c r="AG67" s="202">
        <v>0</v>
      </c>
      <c r="AH67" s="206">
        <f t="shared" si="31"/>
        <v>625</v>
      </c>
      <c r="AI67" s="202">
        <v>373</v>
      </c>
      <c r="AJ67" s="202">
        <v>252</v>
      </c>
      <c r="AK67" s="206">
        <f t="shared" si="32"/>
        <v>559</v>
      </c>
      <c r="AL67" s="202">
        <v>559</v>
      </c>
      <c r="AM67" s="202">
        <v>0</v>
      </c>
      <c r="AN67" s="206">
        <f t="shared" si="33"/>
        <v>0</v>
      </c>
      <c r="AO67" s="202"/>
      <c r="AP67" s="202"/>
    </row>
    <row r="68" ht="17" customHeight="1" spans="1:42">
      <c r="A68" s="191" t="s">
        <v>71</v>
      </c>
      <c r="B68" s="186">
        <f t="shared" si="19"/>
        <v>6986.2</v>
      </c>
      <c r="C68" s="186">
        <f t="shared" si="20"/>
        <v>4534.2</v>
      </c>
      <c r="D68" s="186">
        <v>116</v>
      </c>
      <c r="E68" s="186">
        <f t="shared" si="21"/>
        <v>2452</v>
      </c>
      <c r="F68" s="192">
        <f t="shared" si="22"/>
        <v>3403</v>
      </c>
      <c r="G68" s="186">
        <f t="shared" si="23"/>
        <v>2121</v>
      </c>
      <c r="H68" s="186">
        <v>2005</v>
      </c>
      <c r="I68" s="186">
        <v>116</v>
      </c>
      <c r="J68" s="186">
        <v>1282</v>
      </c>
      <c r="K68" s="201">
        <f t="shared" si="24"/>
        <v>3583.2</v>
      </c>
      <c r="L68" s="201">
        <f t="shared" si="25"/>
        <v>2413.2</v>
      </c>
      <c r="M68" s="201">
        <f t="shared" si="34"/>
        <v>966.2</v>
      </c>
      <c r="N68" s="201">
        <f t="shared" si="35"/>
        <v>1447</v>
      </c>
      <c r="O68" s="201">
        <f t="shared" si="26"/>
        <v>1170</v>
      </c>
      <c r="P68" s="202"/>
      <c r="Q68" s="202"/>
      <c r="R68" s="202"/>
      <c r="S68" s="75" t="s">
        <v>71</v>
      </c>
      <c r="T68" s="202" t="b">
        <f t="shared" si="15"/>
        <v>1</v>
      </c>
      <c r="U68" s="202">
        <f t="shared" si="27"/>
        <v>677</v>
      </c>
      <c r="V68" s="206">
        <f t="shared" si="28"/>
        <v>1940</v>
      </c>
      <c r="W68" s="209">
        <v>1447</v>
      </c>
      <c r="X68" s="202">
        <v>493</v>
      </c>
      <c r="Y68" s="206">
        <f t="shared" si="16"/>
        <v>175</v>
      </c>
      <c r="Z68" s="202">
        <v>131</v>
      </c>
      <c r="AA68" s="202">
        <v>44</v>
      </c>
      <c r="AB68" s="206">
        <f t="shared" si="29"/>
        <v>83</v>
      </c>
      <c r="AC68" s="202">
        <v>61</v>
      </c>
      <c r="AD68" s="202">
        <v>22</v>
      </c>
      <c r="AE68" s="206">
        <f t="shared" si="30"/>
        <v>2.2</v>
      </c>
      <c r="AF68" s="202">
        <v>1.2</v>
      </c>
      <c r="AG68" s="202">
        <v>1</v>
      </c>
      <c r="AH68" s="206">
        <f t="shared" si="31"/>
        <v>745</v>
      </c>
      <c r="AI68" s="202">
        <v>445</v>
      </c>
      <c r="AJ68" s="202">
        <v>300</v>
      </c>
      <c r="AK68" s="206">
        <f t="shared" si="32"/>
        <v>638</v>
      </c>
      <c r="AL68" s="202">
        <v>328</v>
      </c>
      <c r="AM68" s="202">
        <v>310</v>
      </c>
      <c r="AN68" s="206">
        <f t="shared" si="33"/>
        <v>0</v>
      </c>
      <c r="AO68" s="202"/>
      <c r="AP68" s="202"/>
    </row>
    <row r="69" ht="17" customHeight="1" spans="1:42">
      <c r="A69" s="191" t="s">
        <v>72</v>
      </c>
      <c r="B69" s="186">
        <f t="shared" si="19"/>
        <v>10318.8</v>
      </c>
      <c r="C69" s="186">
        <f t="shared" si="20"/>
        <v>5954.7</v>
      </c>
      <c r="D69" s="186">
        <v>164</v>
      </c>
      <c r="E69" s="186">
        <f t="shared" si="21"/>
        <v>4364.1</v>
      </c>
      <c r="F69" s="192">
        <f t="shared" si="22"/>
        <v>5005.3</v>
      </c>
      <c r="G69" s="186">
        <f t="shared" si="23"/>
        <v>3004.2</v>
      </c>
      <c r="H69" s="186">
        <v>2840.2</v>
      </c>
      <c r="I69" s="186">
        <v>164</v>
      </c>
      <c r="J69" s="186">
        <v>2001.1</v>
      </c>
      <c r="K69" s="201">
        <f t="shared" si="24"/>
        <v>5313.5</v>
      </c>
      <c r="L69" s="201">
        <f t="shared" si="25"/>
        <v>2950.5</v>
      </c>
      <c r="M69" s="201">
        <f t="shared" si="34"/>
        <v>727.5</v>
      </c>
      <c r="N69" s="201">
        <f t="shared" si="35"/>
        <v>2223</v>
      </c>
      <c r="O69" s="201">
        <f t="shared" si="26"/>
        <v>2363</v>
      </c>
      <c r="P69" s="202"/>
      <c r="Q69" s="202"/>
      <c r="R69" s="202"/>
      <c r="S69" s="75" t="s">
        <v>72</v>
      </c>
      <c r="T69" s="202" t="b">
        <f t="shared" si="15"/>
        <v>1</v>
      </c>
      <c r="U69" s="202">
        <f t="shared" si="27"/>
        <v>1607</v>
      </c>
      <c r="V69" s="206">
        <f t="shared" si="28"/>
        <v>2979</v>
      </c>
      <c r="W69" s="209">
        <v>2223</v>
      </c>
      <c r="X69" s="202">
        <v>756</v>
      </c>
      <c r="Y69" s="206">
        <f t="shared" si="16"/>
        <v>41</v>
      </c>
      <c r="Z69" s="202">
        <v>28</v>
      </c>
      <c r="AA69" s="202">
        <v>13</v>
      </c>
      <c r="AB69" s="206">
        <f t="shared" si="29"/>
        <v>146</v>
      </c>
      <c r="AC69" s="202">
        <v>107</v>
      </c>
      <c r="AD69" s="202">
        <v>39</v>
      </c>
      <c r="AE69" s="206">
        <f t="shared" si="30"/>
        <v>2.5</v>
      </c>
      <c r="AF69" s="202">
        <v>1.5</v>
      </c>
      <c r="AG69" s="202">
        <v>1</v>
      </c>
      <c r="AH69" s="206">
        <f t="shared" si="31"/>
        <v>990</v>
      </c>
      <c r="AI69" s="202">
        <v>591</v>
      </c>
      <c r="AJ69" s="202">
        <v>399</v>
      </c>
      <c r="AK69" s="206">
        <f t="shared" si="32"/>
        <v>1155</v>
      </c>
      <c r="AL69" s="202">
        <v>0</v>
      </c>
      <c r="AM69" s="202">
        <v>1155</v>
      </c>
      <c r="AN69" s="206">
        <f t="shared" si="33"/>
        <v>0</v>
      </c>
      <c r="AO69" s="202"/>
      <c r="AP69" s="202"/>
    </row>
    <row r="70" ht="17" customHeight="1" spans="1:42">
      <c r="A70" s="191" t="s">
        <v>73</v>
      </c>
      <c r="B70" s="186">
        <f t="shared" si="19"/>
        <v>4041.4</v>
      </c>
      <c r="C70" s="186">
        <f t="shared" si="20"/>
        <v>3240.4</v>
      </c>
      <c r="D70" s="186">
        <v>74</v>
      </c>
      <c r="E70" s="186">
        <f t="shared" si="21"/>
        <v>801</v>
      </c>
      <c r="F70" s="192">
        <f t="shared" si="22"/>
        <v>2125</v>
      </c>
      <c r="G70" s="186">
        <f t="shared" si="23"/>
        <v>1731</v>
      </c>
      <c r="H70" s="186">
        <v>1657</v>
      </c>
      <c r="I70" s="186">
        <v>74</v>
      </c>
      <c r="J70" s="186">
        <v>394</v>
      </c>
      <c r="K70" s="201">
        <f t="shared" si="24"/>
        <v>1916.4</v>
      </c>
      <c r="L70" s="201">
        <f t="shared" si="25"/>
        <v>1509.4</v>
      </c>
      <c r="M70" s="201">
        <f t="shared" si="34"/>
        <v>798.4</v>
      </c>
      <c r="N70" s="201">
        <f t="shared" si="35"/>
        <v>711</v>
      </c>
      <c r="O70" s="201">
        <f t="shared" si="26"/>
        <v>407</v>
      </c>
      <c r="P70" s="202"/>
      <c r="Q70" s="202"/>
      <c r="R70" s="202"/>
      <c r="S70" s="75" t="s">
        <v>73</v>
      </c>
      <c r="T70" s="202" t="b">
        <f t="shared" si="15"/>
        <v>1</v>
      </c>
      <c r="U70" s="202">
        <f t="shared" si="27"/>
        <v>164</v>
      </c>
      <c r="V70" s="206">
        <f t="shared" si="28"/>
        <v>954</v>
      </c>
      <c r="W70" s="209">
        <v>711</v>
      </c>
      <c r="X70" s="202">
        <v>243</v>
      </c>
      <c r="Y70" s="206">
        <f t="shared" si="16"/>
        <v>39</v>
      </c>
      <c r="Z70" s="202">
        <v>27</v>
      </c>
      <c r="AA70" s="202">
        <v>12</v>
      </c>
      <c r="AB70" s="206">
        <f t="shared" si="29"/>
        <v>48</v>
      </c>
      <c r="AC70" s="202">
        <v>35</v>
      </c>
      <c r="AD70" s="202">
        <v>13</v>
      </c>
      <c r="AE70" s="206">
        <f t="shared" si="30"/>
        <v>0.4</v>
      </c>
      <c r="AF70" s="202">
        <v>0.4</v>
      </c>
      <c r="AG70" s="202">
        <v>0</v>
      </c>
      <c r="AH70" s="206">
        <f t="shared" si="31"/>
        <v>346</v>
      </c>
      <c r="AI70" s="202">
        <v>207</v>
      </c>
      <c r="AJ70" s="202">
        <v>139</v>
      </c>
      <c r="AK70" s="206">
        <f t="shared" si="32"/>
        <v>529</v>
      </c>
      <c r="AL70" s="202">
        <v>529</v>
      </c>
      <c r="AM70" s="202">
        <v>0</v>
      </c>
      <c r="AN70" s="206">
        <f t="shared" si="33"/>
        <v>0</v>
      </c>
      <c r="AO70" s="202"/>
      <c r="AP70" s="202"/>
    </row>
    <row r="71" ht="17" customHeight="1" spans="1:42">
      <c r="A71" s="193" t="s">
        <v>74</v>
      </c>
      <c r="B71" s="189">
        <f t="shared" si="19"/>
        <v>6791.5</v>
      </c>
      <c r="C71" s="189">
        <f t="shared" si="20"/>
        <v>5133.4</v>
      </c>
      <c r="D71" s="189">
        <v>89</v>
      </c>
      <c r="E71" s="189">
        <f t="shared" si="21"/>
        <v>1658.1</v>
      </c>
      <c r="F71" s="192">
        <f t="shared" si="22"/>
        <v>3564.7</v>
      </c>
      <c r="G71" s="186">
        <f t="shared" si="23"/>
        <v>2619.6</v>
      </c>
      <c r="H71" s="189">
        <v>2530.6</v>
      </c>
      <c r="I71" s="189">
        <v>89</v>
      </c>
      <c r="J71" s="189">
        <v>945.1</v>
      </c>
      <c r="K71" s="199">
        <f t="shared" si="24"/>
        <v>3226.8</v>
      </c>
      <c r="L71" s="199">
        <f t="shared" si="25"/>
        <v>2513.8</v>
      </c>
      <c r="M71" s="201">
        <f t="shared" si="34"/>
        <v>905.8</v>
      </c>
      <c r="N71" s="201">
        <f t="shared" si="35"/>
        <v>1608</v>
      </c>
      <c r="O71" s="199">
        <f t="shared" si="26"/>
        <v>713</v>
      </c>
      <c r="P71" s="200"/>
      <c r="Q71" s="200"/>
      <c r="R71" s="200"/>
      <c r="S71" s="76" t="s">
        <v>74</v>
      </c>
      <c r="T71" s="202" t="b">
        <f t="shared" si="15"/>
        <v>1</v>
      </c>
      <c r="U71" s="202">
        <f t="shared" si="27"/>
        <v>159</v>
      </c>
      <c r="V71" s="206">
        <f t="shared" si="28"/>
        <v>2162</v>
      </c>
      <c r="W71" s="209">
        <v>1608</v>
      </c>
      <c r="X71" s="202">
        <v>554</v>
      </c>
      <c r="Y71" s="206">
        <f t="shared" si="16"/>
        <v>19</v>
      </c>
      <c r="Z71" s="202">
        <v>12</v>
      </c>
      <c r="AA71" s="202">
        <v>7</v>
      </c>
      <c r="AB71" s="206">
        <f t="shared" si="29"/>
        <v>143</v>
      </c>
      <c r="AC71" s="202">
        <v>105</v>
      </c>
      <c r="AD71" s="202">
        <v>38</v>
      </c>
      <c r="AE71" s="206">
        <f t="shared" si="30"/>
        <v>3.8</v>
      </c>
      <c r="AF71" s="202">
        <v>2.8</v>
      </c>
      <c r="AG71" s="202">
        <v>1</v>
      </c>
      <c r="AH71" s="206">
        <f t="shared" si="31"/>
        <v>280</v>
      </c>
      <c r="AI71" s="202">
        <v>167</v>
      </c>
      <c r="AJ71" s="202">
        <v>113</v>
      </c>
      <c r="AK71" s="206">
        <f t="shared" si="32"/>
        <v>619</v>
      </c>
      <c r="AL71" s="202">
        <v>619</v>
      </c>
      <c r="AM71" s="202">
        <v>0</v>
      </c>
      <c r="AN71" s="206">
        <f t="shared" si="33"/>
        <v>0</v>
      </c>
      <c r="AO71" s="202"/>
      <c r="AP71" s="202"/>
    </row>
    <row r="72" ht="17" customHeight="1" spans="1:42">
      <c r="A72" s="191" t="s">
        <v>26</v>
      </c>
      <c r="B72" s="186">
        <f t="shared" si="19"/>
        <v>1645.5</v>
      </c>
      <c r="C72" s="186">
        <f t="shared" si="20"/>
        <v>1142.4</v>
      </c>
      <c r="D72" s="186">
        <v>0</v>
      </c>
      <c r="E72" s="186">
        <f t="shared" si="21"/>
        <v>503.1</v>
      </c>
      <c r="F72" s="192">
        <f t="shared" si="22"/>
        <v>850.7</v>
      </c>
      <c r="G72" s="186">
        <f t="shared" si="23"/>
        <v>552.6</v>
      </c>
      <c r="H72" s="186">
        <v>552.6</v>
      </c>
      <c r="I72" s="186">
        <v>0</v>
      </c>
      <c r="J72" s="186">
        <v>298.1</v>
      </c>
      <c r="K72" s="201">
        <f t="shared" si="24"/>
        <v>794.8</v>
      </c>
      <c r="L72" s="201">
        <f t="shared" si="25"/>
        <v>589.8</v>
      </c>
      <c r="M72" s="201">
        <f t="shared" si="34"/>
        <v>43.8</v>
      </c>
      <c r="N72" s="201">
        <f t="shared" si="35"/>
        <v>546</v>
      </c>
      <c r="O72" s="201">
        <f t="shared" si="26"/>
        <v>205</v>
      </c>
      <c r="P72" s="202"/>
      <c r="Q72" s="202"/>
      <c r="R72" s="202"/>
      <c r="S72" s="71" t="s">
        <v>26</v>
      </c>
      <c r="T72" s="202" t="b">
        <f t="shared" ref="T72:T106" si="36">S72=A72</f>
        <v>1</v>
      </c>
      <c r="U72" s="202">
        <f t="shared" si="27"/>
        <v>16</v>
      </c>
      <c r="V72" s="206">
        <f t="shared" si="28"/>
        <v>735</v>
      </c>
      <c r="W72" s="202">
        <v>546</v>
      </c>
      <c r="X72" s="202">
        <v>189</v>
      </c>
      <c r="Y72" s="206">
        <f t="shared" si="16"/>
        <v>2</v>
      </c>
      <c r="Z72" s="202">
        <v>1</v>
      </c>
      <c r="AA72" s="202">
        <v>1</v>
      </c>
      <c r="AB72" s="206">
        <f t="shared" si="29"/>
        <v>54</v>
      </c>
      <c r="AC72" s="202">
        <v>40</v>
      </c>
      <c r="AD72" s="202">
        <v>14</v>
      </c>
      <c r="AE72" s="206">
        <f t="shared" si="30"/>
        <v>3.8</v>
      </c>
      <c r="AF72" s="202">
        <v>2.8</v>
      </c>
      <c r="AG72" s="202">
        <v>1</v>
      </c>
      <c r="AH72" s="206">
        <f t="shared" si="31"/>
        <v>0</v>
      </c>
      <c r="AI72" s="202">
        <v>0</v>
      </c>
      <c r="AJ72" s="202">
        <v>0</v>
      </c>
      <c r="AK72" s="206">
        <f t="shared" si="32"/>
        <v>0</v>
      </c>
      <c r="AL72" s="202">
        <v>0</v>
      </c>
      <c r="AM72" s="202">
        <v>0</v>
      </c>
      <c r="AN72" s="206">
        <f t="shared" si="33"/>
        <v>0</v>
      </c>
      <c r="AO72" s="202"/>
      <c r="AP72" s="202"/>
    </row>
    <row r="73" ht="17" customHeight="1" spans="1:42">
      <c r="A73" s="191" t="s">
        <v>75</v>
      </c>
      <c r="B73" s="186">
        <f t="shared" si="19"/>
        <v>2686</v>
      </c>
      <c r="C73" s="186">
        <f t="shared" si="20"/>
        <v>2040</v>
      </c>
      <c r="D73" s="186">
        <v>41</v>
      </c>
      <c r="E73" s="186">
        <f t="shared" si="21"/>
        <v>646</v>
      </c>
      <c r="F73" s="192">
        <f t="shared" si="22"/>
        <v>1529</v>
      </c>
      <c r="G73" s="186">
        <f t="shared" si="23"/>
        <v>1130</v>
      </c>
      <c r="H73" s="186">
        <v>1089</v>
      </c>
      <c r="I73" s="186">
        <v>41</v>
      </c>
      <c r="J73" s="186">
        <v>399</v>
      </c>
      <c r="K73" s="201">
        <f t="shared" si="24"/>
        <v>1157</v>
      </c>
      <c r="L73" s="201">
        <f t="shared" si="25"/>
        <v>910</v>
      </c>
      <c r="M73" s="201">
        <f t="shared" si="34"/>
        <v>298</v>
      </c>
      <c r="N73" s="201">
        <f t="shared" si="35"/>
        <v>612</v>
      </c>
      <c r="O73" s="201">
        <f t="shared" si="26"/>
        <v>247</v>
      </c>
      <c r="P73" s="202"/>
      <c r="Q73" s="202"/>
      <c r="R73" s="202"/>
      <c r="S73" s="71" t="s">
        <v>75</v>
      </c>
      <c r="T73" s="202" t="b">
        <f t="shared" si="36"/>
        <v>1</v>
      </c>
      <c r="U73" s="202">
        <f t="shared" si="27"/>
        <v>35</v>
      </c>
      <c r="V73" s="206">
        <f t="shared" si="28"/>
        <v>824</v>
      </c>
      <c r="W73" s="209">
        <v>612</v>
      </c>
      <c r="X73" s="202">
        <v>212</v>
      </c>
      <c r="Y73" s="206">
        <f t="shared" si="16"/>
        <v>8</v>
      </c>
      <c r="Z73" s="202">
        <v>5</v>
      </c>
      <c r="AA73" s="202">
        <v>3</v>
      </c>
      <c r="AB73" s="206">
        <f t="shared" si="29"/>
        <v>45</v>
      </c>
      <c r="AC73" s="202">
        <v>33</v>
      </c>
      <c r="AD73" s="202">
        <v>12</v>
      </c>
      <c r="AE73" s="206">
        <f t="shared" si="30"/>
        <v>0</v>
      </c>
      <c r="AF73" s="202">
        <v>0</v>
      </c>
      <c r="AG73" s="202">
        <v>0</v>
      </c>
      <c r="AH73" s="206">
        <f t="shared" si="31"/>
        <v>50</v>
      </c>
      <c r="AI73" s="202">
        <v>30</v>
      </c>
      <c r="AJ73" s="202">
        <v>20</v>
      </c>
      <c r="AK73" s="206">
        <f t="shared" si="32"/>
        <v>230</v>
      </c>
      <c r="AL73" s="202">
        <v>230</v>
      </c>
      <c r="AM73" s="202">
        <v>0</v>
      </c>
      <c r="AN73" s="206">
        <f t="shared" si="33"/>
        <v>0</v>
      </c>
      <c r="AO73" s="202"/>
      <c r="AP73" s="202"/>
    </row>
    <row r="74" ht="15" customHeight="1" spans="1:42">
      <c r="A74" s="191" t="s">
        <v>76</v>
      </c>
      <c r="B74" s="186">
        <f t="shared" si="19"/>
        <v>2460</v>
      </c>
      <c r="C74" s="186">
        <f t="shared" si="20"/>
        <v>1951</v>
      </c>
      <c r="D74" s="186">
        <v>48</v>
      </c>
      <c r="E74" s="186">
        <f t="shared" si="21"/>
        <v>509</v>
      </c>
      <c r="F74" s="192">
        <f t="shared" si="22"/>
        <v>1185</v>
      </c>
      <c r="G74" s="186">
        <f t="shared" si="23"/>
        <v>937</v>
      </c>
      <c r="H74" s="186">
        <v>889</v>
      </c>
      <c r="I74" s="186">
        <v>48</v>
      </c>
      <c r="J74" s="186">
        <v>248</v>
      </c>
      <c r="K74" s="201">
        <f t="shared" si="24"/>
        <v>1275</v>
      </c>
      <c r="L74" s="201">
        <f t="shared" si="25"/>
        <v>1014</v>
      </c>
      <c r="M74" s="201">
        <f t="shared" si="34"/>
        <v>564</v>
      </c>
      <c r="N74" s="201">
        <f t="shared" si="35"/>
        <v>450</v>
      </c>
      <c r="O74" s="201">
        <f t="shared" si="26"/>
        <v>261</v>
      </c>
      <c r="P74" s="202"/>
      <c r="Q74" s="202"/>
      <c r="R74" s="202"/>
      <c r="S74" s="71" t="s">
        <v>76</v>
      </c>
      <c r="T74" s="202" t="b">
        <f t="shared" si="36"/>
        <v>1</v>
      </c>
      <c r="U74" s="202">
        <f t="shared" si="27"/>
        <v>108</v>
      </c>
      <c r="V74" s="206">
        <f t="shared" si="28"/>
        <v>603</v>
      </c>
      <c r="W74" s="209">
        <v>450</v>
      </c>
      <c r="X74" s="202">
        <v>153</v>
      </c>
      <c r="Y74" s="206">
        <f t="shared" si="16"/>
        <v>9</v>
      </c>
      <c r="Z74" s="202">
        <v>6</v>
      </c>
      <c r="AA74" s="202">
        <v>3</v>
      </c>
      <c r="AB74" s="206">
        <f t="shared" si="29"/>
        <v>44</v>
      </c>
      <c r="AC74" s="202">
        <v>32</v>
      </c>
      <c r="AD74" s="202">
        <v>12</v>
      </c>
      <c r="AE74" s="206">
        <f t="shared" si="30"/>
        <v>0</v>
      </c>
      <c r="AF74" s="202">
        <v>0</v>
      </c>
      <c r="AG74" s="202">
        <v>0</v>
      </c>
      <c r="AH74" s="206">
        <f t="shared" si="31"/>
        <v>230</v>
      </c>
      <c r="AI74" s="202">
        <v>137</v>
      </c>
      <c r="AJ74" s="202">
        <v>93</v>
      </c>
      <c r="AK74" s="206">
        <f t="shared" si="32"/>
        <v>389</v>
      </c>
      <c r="AL74" s="202">
        <v>389</v>
      </c>
      <c r="AM74" s="202">
        <v>0</v>
      </c>
      <c r="AN74" s="206">
        <f t="shared" si="33"/>
        <v>0</v>
      </c>
      <c r="AO74" s="202"/>
      <c r="AP74" s="202"/>
    </row>
    <row r="75" ht="17" customHeight="1" spans="1:42">
      <c r="A75" s="191" t="s">
        <v>77</v>
      </c>
      <c r="B75" s="186">
        <f t="shared" si="19"/>
        <v>5106.8</v>
      </c>
      <c r="C75" s="186">
        <f t="shared" si="20"/>
        <v>3946.8</v>
      </c>
      <c r="D75" s="186">
        <v>98</v>
      </c>
      <c r="E75" s="186">
        <f t="shared" si="21"/>
        <v>1160</v>
      </c>
      <c r="F75" s="192">
        <f t="shared" si="22"/>
        <v>2552</v>
      </c>
      <c r="G75" s="186">
        <f t="shared" si="23"/>
        <v>1987</v>
      </c>
      <c r="H75" s="186">
        <v>1889</v>
      </c>
      <c r="I75" s="186">
        <v>98</v>
      </c>
      <c r="J75" s="186">
        <v>565</v>
      </c>
      <c r="K75" s="201">
        <f t="shared" si="24"/>
        <v>2554.8</v>
      </c>
      <c r="L75" s="201">
        <f t="shared" si="25"/>
        <v>1959.8</v>
      </c>
      <c r="M75" s="201">
        <f t="shared" si="34"/>
        <v>918.8</v>
      </c>
      <c r="N75" s="201">
        <f t="shared" si="35"/>
        <v>1041</v>
      </c>
      <c r="O75" s="201">
        <f t="shared" si="26"/>
        <v>595</v>
      </c>
      <c r="P75" s="202"/>
      <c r="Q75" s="202"/>
      <c r="R75" s="202"/>
      <c r="S75" s="75" t="s">
        <v>77</v>
      </c>
      <c r="T75" s="202" t="b">
        <f t="shared" si="36"/>
        <v>1</v>
      </c>
      <c r="U75" s="202">
        <f t="shared" si="27"/>
        <v>240</v>
      </c>
      <c r="V75" s="206">
        <f t="shared" si="28"/>
        <v>1396</v>
      </c>
      <c r="W75" s="209">
        <v>1041</v>
      </c>
      <c r="X75" s="202">
        <v>355</v>
      </c>
      <c r="Y75" s="206">
        <f t="shared" si="16"/>
        <v>20</v>
      </c>
      <c r="Z75" s="202">
        <v>14</v>
      </c>
      <c r="AA75" s="202">
        <v>6</v>
      </c>
      <c r="AB75" s="206">
        <f t="shared" si="29"/>
        <v>56</v>
      </c>
      <c r="AC75" s="202">
        <v>41</v>
      </c>
      <c r="AD75" s="202">
        <v>15</v>
      </c>
      <c r="AE75" s="206">
        <f t="shared" si="30"/>
        <v>0.8</v>
      </c>
      <c r="AF75" s="202">
        <v>0.8</v>
      </c>
      <c r="AG75" s="202">
        <v>0</v>
      </c>
      <c r="AH75" s="206">
        <f t="shared" si="31"/>
        <v>543</v>
      </c>
      <c r="AI75" s="202">
        <v>324</v>
      </c>
      <c r="AJ75" s="202">
        <v>219</v>
      </c>
      <c r="AK75" s="206">
        <f t="shared" si="32"/>
        <v>539</v>
      </c>
      <c r="AL75" s="202">
        <v>539</v>
      </c>
      <c r="AM75" s="202">
        <v>0</v>
      </c>
      <c r="AN75" s="206">
        <f t="shared" si="33"/>
        <v>0</v>
      </c>
      <c r="AO75" s="202"/>
      <c r="AP75" s="202"/>
    </row>
    <row r="76" ht="17" customHeight="1" spans="1:42">
      <c r="A76" s="191" t="s">
        <v>78</v>
      </c>
      <c r="B76" s="186">
        <f t="shared" si="19"/>
        <v>3132</v>
      </c>
      <c r="C76" s="186">
        <f t="shared" si="20"/>
        <v>2117</v>
      </c>
      <c r="D76" s="186">
        <v>52</v>
      </c>
      <c r="E76" s="186">
        <f t="shared" si="21"/>
        <v>1015</v>
      </c>
      <c r="F76" s="192">
        <f t="shared" si="22"/>
        <v>1590</v>
      </c>
      <c r="G76" s="186">
        <f t="shared" si="23"/>
        <v>1055</v>
      </c>
      <c r="H76" s="186">
        <v>1003</v>
      </c>
      <c r="I76" s="186">
        <v>52</v>
      </c>
      <c r="J76" s="186">
        <v>535</v>
      </c>
      <c r="K76" s="201">
        <f t="shared" si="24"/>
        <v>1542</v>
      </c>
      <c r="L76" s="201">
        <f t="shared" si="25"/>
        <v>1062</v>
      </c>
      <c r="M76" s="201">
        <f t="shared" si="34"/>
        <v>514</v>
      </c>
      <c r="N76" s="201">
        <f t="shared" si="35"/>
        <v>548</v>
      </c>
      <c r="O76" s="201">
        <f t="shared" si="26"/>
        <v>480</v>
      </c>
      <c r="P76" s="202"/>
      <c r="Q76" s="202"/>
      <c r="R76" s="202"/>
      <c r="S76" s="75" t="s">
        <v>78</v>
      </c>
      <c r="T76" s="202" t="b">
        <f t="shared" si="36"/>
        <v>1</v>
      </c>
      <c r="U76" s="202">
        <f t="shared" si="27"/>
        <v>293</v>
      </c>
      <c r="V76" s="206">
        <f t="shared" si="28"/>
        <v>735</v>
      </c>
      <c r="W76" s="209">
        <v>548</v>
      </c>
      <c r="X76" s="202">
        <v>187</v>
      </c>
      <c r="Y76" s="206">
        <f t="shared" si="16"/>
        <v>57</v>
      </c>
      <c r="Z76" s="202">
        <v>46</v>
      </c>
      <c r="AA76" s="202">
        <v>11</v>
      </c>
      <c r="AB76" s="206">
        <f t="shared" si="29"/>
        <v>48</v>
      </c>
      <c r="AC76" s="202">
        <v>35</v>
      </c>
      <c r="AD76" s="202">
        <v>13</v>
      </c>
      <c r="AE76" s="206">
        <f t="shared" si="30"/>
        <v>0</v>
      </c>
      <c r="AF76" s="202">
        <v>0</v>
      </c>
      <c r="AG76" s="202">
        <v>0</v>
      </c>
      <c r="AH76" s="206">
        <f t="shared" si="31"/>
        <v>277</v>
      </c>
      <c r="AI76" s="202">
        <v>165</v>
      </c>
      <c r="AJ76" s="202">
        <v>112</v>
      </c>
      <c r="AK76" s="206">
        <f t="shared" si="32"/>
        <v>229</v>
      </c>
      <c r="AL76" s="202">
        <v>229</v>
      </c>
      <c r="AM76" s="202">
        <v>0</v>
      </c>
      <c r="AN76" s="206">
        <f t="shared" si="33"/>
        <v>196</v>
      </c>
      <c r="AO76" s="202">
        <v>39</v>
      </c>
      <c r="AP76" s="202">
        <v>157</v>
      </c>
    </row>
    <row r="77" s="167" customFormat="1" ht="17" customHeight="1" spans="1:42">
      <c r="A77" s="191" t="s">
        <v>79</v>
      </c>
      <c r="B77" s="186">
        <f t="shared" si="19"/>
        <v>1396</v>
      </c>
      <c r="C77" s="186">
        <f t="shared" si="20"/>
        <v>1059</v>
      </c>
      <c r="D77" s="186">
        <v>24</v>
      </c>
      <c r="E77" s="186">
        <f t="shared" si="21"/>
        <v>337</v>
      </c>
      <c r="F77" s="192">
        <f t="shared" si="22"/>
        <v>720</v>
      </c>
      <c r="G77" s="186">
        <f t="shared" si="23"/>
        <v>551</v>
      </c>
      <c r="H77" s="186">
        <v>527</v>
      </c>
      <c r="I77" s="186">
        <v>24</v>
      </c>
      <c r="J77" s="186">
        <v>169</v>
      </c>
      <c r="K77" s="201">
        <f t="shared" si="24"/>
        <v>676</v>
      </c>
      <c r="L77" s="201">
        <f t="shared" si="25"/>
        <v>508</v>
      </c>
      <c r="M77" s="201">
        <f t="shared" si="34"/>
        <v>261</v>
      </c>
      <c r="N77" s="201">
        <f t="shared" si="35"/>
        <v>247</v>
      </c>
      <c r="O77" s="201">
        <f t="shared" si="26"/>
        <v>168</v>
      </c>
      <c r="P77" s="202"/>
      <c r="Q77" s="202"/>
      <c r="R77" s="202"/>
      <c r="S77" s="75" t="s">
        <v>79</v>
      </c>
      <c r="T77" s="202" t="b">
        <f t="shared" si="36"/>
        <v>1</v>
      </c>
      <c r="U77" s="202">
        <f t="shared" si="27"/>
        <v>55</v>
      </c>
      <c r="V77" s="206">
        <f t="shared" si="28"/>
        <v>360</v>
      </c>
      <c r="W77" s="209">
        <v>247</v>
      </c>
      <c r="X77" s="202">
        <v>113</v>
      </c>
      <c r="Y77" s="206">
        <f t="shared" si="16"/>
        <v>15</v>
      </c>
      <c r="Z77" s="202">
        <v>12</v>
      </c>
      <c r="AA77" s="202">
        <v>3</v>
      </c>
      <c r="AB77" s="206">
        <f t="shared" si="29"/>
        <v>16</v>
      </c>
      <c r="AC77" s="202">
        <v>11</v>
      </c>
      <c r="AD77" s="202">
        <v>5</v>
      </c>
      <c r="AE77" s="206">
        <f t="shared" si="30"/>
        <v>0</v>
      </c>
      <c r="AF77" s="202">
        <v>0</v>
      </c>
      <c r="AG77" s="202">
        <v>0</v>
      </c>
      <c r="AH77" s="206">
        <f t="shared" si="31"/>
        <v>117</v>
      </c>
      <c r="AI77" s="202">
        <v>70</v>
      </c>
      <c r="AJ77" s="202">
        <v>47</v>
      </c>
      <c r="AK77" s="206">
        <f t="shared" si="32"/>
        <v>168</v>
      </c>
      <c r="AL77" s="202">
        <v>168</v>
      </c>
      <c r="AM77" s="202">
        <v>0</v>
      </c>
      <c r="AN77" s="206">
        <f t="shared" si="33"/>
        <v>0</v>
      </c>
      <c r="AO77" s="202"/>
      <c r="AP77" s="202"/>
    </row>
    <row r="78" ht="17" customHeight="1" spans="1:42">
      <c r="A78" s="191" t="s">
        <v>80</v>
      </c>
      <c r="B78" s="186">
        <f t="shared" si="19"/>
        <v>2732</v>
      </c>
      <c r="C78" s="186">
        <f t="shared" si="20"/>
        <v>2163</v>
      </c>
      <c r="D78" s="186">
        <v>47</v>
      </c>
      <c r="E78" s="186">
        <f t="shared" si="21"/>
        <v>569</v>
      </c>
      <c r="F78" s="192">
        <f t="shared" si="22"/>
        <v>1375</v>
      </c>
      <c r="G78" s="186">
        <f t="shared" si="23"/>
        <v>1096</v>
      </c>
      <c r="H78" s="186">
        <v>1049</v>
      </c>
      <c r="I78" s="186">
        <v>47</v>
      </c>
      <c r="J78" s="186">
        <v>279</v>
      </c>
      <c r="K78" s="201">
        <f t="shared" si="24"/>
        <v>1357</v>
      </c>
      <c r="L78" s="201">
        <f t="shared" si="25"/>
        <v>1067</v>
      </c>
      <c r="M78" s="201">
        <f t="shared" si="34"/>
        <v>543</v>
      </c>
      <c r="N78" s="201">
        <f t="shared" si="35"/>
        <v>524</v>
      </c>
      <c r="O78" s="201">
        <f t="shared" si="26"/>
        <v>290</v>
      </c>
      <c r="P78" s="202"/>
      <c r="Q78" s="202"/>
      <c r="R78" s="202"/>
      <c r="S78" s="75" t="s">
        <v>80</v>
      </c>
      <c r="T78" s="202" t="b">
        <f t="shared" si="36"/>
        <v>1</v>
      </c>
      <c r="U78" s="202">
        <f t="shared" si="27"/>
        <v>111</v>
      </c>
      <c r="V78" s="206">
        <f t="shared" si="28"/>
        <v>703</v>
      </c>
      <c r="W78" s="209">
        <v>524</v>
      </c>
      <c r="X78" s="202">
        <v>179</v>
      </c>
      <c r="Y78" s="206">
        <f t="shared" si="16"/>
        <v>17</v>
      </c>
      <c r="Z78" s="202">
        <v>12</v>
      </c>
      <c r="AA78" s="202">
        <v>5</v>
      </c>
      <c r="AB78" s="206">
        <f t="shared" si="29"/>
        <v>23</v>
      </c>
      <c r="AC78" s="202">
        <v>17</v>
      </c>
      <c r="AD78" s="202">
        <v>6</v>
      </c>
      <c r="AE78" s="206">
        <f t="shared" si="30"/>
        <v>0</v>
      </c>
      <c r="AF78" s="202">
        <v>0</v>
      </c>
      <c r="AG78" s="202">
        <v>0</v>
      </c>
      <c r="AH78" s="206">
        <f t="shared" si="31"/>
        <v>247</v>
      </c>
      <c r="AI78" s="202">
        <v>147</v>
      </c>
      <c r="AJ78" s="202">
        <v>100</v>
      </c>
      <c r="AK78" s="206">
        <f t="shared" si="32"/>
        <v>367</v>
      </c>
      <c r="AL78" s="202">
        <v>367</v>
      </c>
      <c r="AM78" s="202">
        <v>0</v>
      </c>
      <c r="AN78" s="206">
        <f t="shared" si="33"/>
        <v>0</v>
      </c>
      <c r="AO78" s="202"/>
      <c r="AP78" s="202"/>
    </row>
    <row r="79" ht="17" customHeight="1" spans="1:42">
      <c r="A79" s="193" t="s">
        <v>81</v>
      </c>
      <c r="B79" s="189">
        <f t="shared" si="19"/>
        <v>13000.1</v>
      </c>
      <c r="C79" s="189">
        <f t="shared" si="20"/>
        <v>7821.1</v>
      </c>
      <c r="D79" s="189">
        <v>43</v>
      </c>
      <c r="E79" s="189">
        <f t="shared" si="21"/>
        <v>5179</v>
      </c>
      <c r="F79" s="192">
        <f t="shared" si="22"/>
        <v>6790</v>
      </c>
      <c r="G79" s="186">
        <f t="shared" si="23"/>
        <v>3870</v>
      </c>
      <c r="H79" s="189">
        <v>3827</v>
      </c>
      <c r="I79" s="189">
        <v>43</v>
      </c>
      <c r="J79" s="189">
        <v>2920</v>
      </c>
      <c r="K79" s="199">
        <f t="shared" si="24"/>
        <v>6210.1</v>
      </c>
      <c r="L79" s="199">
        <f t="shared" si="25"/>
        <v>3951.1</v>
      </c>
      <c r="M79" s="201">
        <f t="shared" si="34"/>
        <v>331.1</v>
      </c>
      <c r="N79" s="201">
        <f t="shared" si="35"/>
        <v>3620</v>
      </c>
      <c r="O79" s="199">
        <f t="shared" si="26"/>
        <v>2259</v>
      </c>
      <c r="P79" s="200"/>
      <c r="Q79" s="200"/>
      <c r="R79" s="200"/>
      <c r="S79" s="76" t="s">
        <v>81</v>
      </c>
      <c r="T79" s="202" t="b">
        <f t="shared" si="36"/>
        <v>1</v>
      </c>
      <c r="U79" s="202">
        <f t="shared" si="27"/>
        <v>1011</v>
      </c>
      <c r="V79" s="206">
        <f t="shared" si="28"/>
        <v>4868</v>
      </c>
      <c r="W79" s="209">
        <v>3620</v>
      </c>
      <c r="X79" s="202">
        <v>1248</v>
      </c>
      <c r="Y79" s="206">
        <f t="shared" si="16"/>
        <v>30</v>
      </c>
      <c r="Z79" s="202">
        <v>21</v>
      </c>
      <c r="AA79" s="202">
        <v>9</v>
      </c>
      <c r="AB79" s="206">
        <f t="shared" si="29"/>
        <v>155</v>
      </c>
      <c r="AC79" s="202">
        <v>114</v>
      </c>
      <c r="AD79" s="202">
        <v>41</v>
      </c>
      <c r="AE79" s="206">
        <f t="shared" si="30"/>
        <v>6.1</v>
      </c>
      <c r="AF79" s="202">
        <v>4.1</v>
      </c>
      <c r="AG79" s="202">
        <v>2</v>
      </c>
      <c r="AH79" s="206">
        <f t="shared" si="31"/>
        <v>321</v>
      </c>
      <c r="AI79" s="202">
        <v>192</v>
      </c>
      <c r="AJ79" s="202">
        <v>129</v>
      </c>
      <c r="AK79" s="206">
        <f t="shared" si="32"/>
        <v>830</v>
      </c>
      <c r="AL79" s="202">
        <v>0</v>
      </c>
      <c r="AM79" s="202">
        <v>830</v>
      </c>
      <c r="AN79" s="206">
        <f t="shared" si="33"/>
        <v>0</v>
      </c>
      <c r="AO79" s="202"/>
      <c r="AP79" s="202"/>
    </row>
    <row r="80" ht="17" customHeight="1" spans="1:42">
      <c r="A80" s="191" t="s">
        <v>26</v>
      </c>
      <c r="B80" s="186">
        <f t="shared" si="19"/>
        <v>3107.1</v>
      </c>
      <c r="C80" s="186">
        <f t="shared" si="20"/>
        <v>2237.1</v>
      </c>
      <c r="D80" s="186">
        <v>0</v>
      </c>
      <c r="E80" s="186">
        <f t="shared" si="21"/>
        <v>870</v>
      </c>
      <c r="F80" s="192">
        <f t="shared" si="22"/>
        <v>746</v>
      </c>
      <c r="G80" s="186">
        <f t="shared" si="23"/>
        <v>493</v>
      </c>
      <c r="H80" s="186">
        <v>493</v>
      </c>
      <c r="I80" s="186">
        <v>0</v>
      </c>
      <c r="J80" s="186">
        <v>253</v>
      </c>
      <c r="K80" s="201">
        <f t="shared" si="24"/>
        <v>2361.1</v>
      </c>
      <c r="L80" s="201">
        <f t="shared" si="25"/>
        <v>1744.1</v>
      </c>
      <c r="M80" s="201">
        <f t="shared" si="34"/>
        <v>123.1</v>
      </c>
      <c r="N80" s="201">
        <f t="shared" si="35"/>
        <v>1621</v>
      </c>
      <c r="O80" s="201">
        <f t="shared" si="26"/>
        <v>617</v>
      </c>
      <c r="P80" s="202"/>
      <c r="Q80" s="202"/>
      <c r="R80" s="202"/>
      <c r="S80" s="71" t="s">
        <v>26</v>
      </c>
      <c r="T80" s="202" t="b">
        <f t="shared" si="36"/>
        <v>1</v>
      </c>
      <c r="U80" s="202">
        <f t="shared" si="27"/>
        <v>58</v>
      </c>
      <c r="V80" s="206">
        <f t="shared" si="28"/>
        <v>2180</v>
      </c>
      <c r="W80" s="202">
        <v>1621</v>
      </c>
      <c r="X80" s="202">
        <v>559</v>
      </c>
      <c r="Y80" s="206">
        <f t="shared" ref="Y80:Y106" si="37">Z80+AA80</f>
        <v>12</v>
      </c>
      <c r="Z80" s="202">
        <v>8</v>
      </c>
      <c r="AA80" s="202">
        <v>4</v>
      </c>
      <c r="AB80" s="206">
        <f t="shared" si="29"/>
        <v>95</v>
      </c>
      <c r="AC80" s="202">
        <v>70</v>
      </c>
      <c r="AD80" s="202">
        <v>25</v>
      </c>
      <c r="AE80" s="206">
        <f t="shared" si="30"/>
        <v>6.1</v>
      </c>
      <c r="AF80" s="202">
        <v>4.1</v>
      </c>
      <c r="AG80" s="202">
        <v>2</v>
      </c>
      <c r="AH80" s="206">
        <f t="shared" si="31"/>
        <v>68</v>
      </c>
      <c r="AI80" s="202">
        <v>41</v>
      </c>
      <c r="AJ80" s="202">
        <v>27</v>
      </c>
      <c r="AK80" s="206">
        <f t="shared" si="32"/>
        <v>0</v>
      </c>
      <c r="AL80" s="202">
        <v>0</v>
      </c>
      <c r="AM80" s="202">
        <v>0</v>
      </c>
      <c r="AN80" s="206">
        <f t="shared" si="33"/>
        <v>0</v>
      </c>
      <c r="AO80" s="202"/>
      <c r="AP80" s="202"/>
    </row>
    <row r="81" ht="17" customHeight="1" spans="1:42">
      <c r="A81" s="191" t="s">
        <v>82</v>
      </c>
      <c r="B81" s="186">
        <f t="shared" ref="B81:B106" si="38">C81+E81</f>
        <v>8044</v>
      </c>
      <c r="C81" s="186">
        <f t="shared" ref="C81:C106" si="39">H81+D81+L81</f>
        <v>4493</v>
      </c>
      <c r="D81" s="186">
        <v>43</v>
      </c>
      <c r="E81" s="186">
        <f t="shared" ref="E81:E106" si="40">J81+O81</f>
        <v>3551</v>
      </c>
      <c r="F81" s="192">
        <f t="shared" ref="F81:F106" si="41">G81+J81</f>
        <v>4195</v>
      </c>
      <c r="G81" s="186">
        <f t="shared" ref="G81:G106" si="42">H81+I81</f>
        <v>2286</v>
      </c>
      <c r="H81" s="186">
        <v>2243</v>
      </c>
      <c r="I81" s="186">
        <v>43</v>
      </c>
      <c r="J81" s="186">
        <v>1909</v>
      </c>
      <c r="K81" s="201">
        <f t="shared" ref="K81:K103" si="43">L81+O81</f>
        <v>3849</v>
      </c>
      <c r="L81" s="201">
        <f t="shared" ref="L81:L103" si="44">W81+Z81+AC81+AF81+AI81+AL81+AO81</f>
        <v>2207</v>
      </c>
      <c r="M81" s="201">
        <f t="shared" si="34"/>
        <v>208</v>
      </c>
      <c r="N81" s="201">
        <f t="shared" si="35"/>
        <v>1999</v>
      </c>
      <c r="O81" s="201">
        <f t="shared" ref="O81:O106" si="45">X81+AA81+AD81+AG81+AJ81+AM81+AP81</f>
        <v>1642</v>
      </c>
      <c r="P81" s="202"/>
      <c r="Q81" s="202"/>
      <c r="R81" s="202"/>
      <c r="S81" s="71" t="s">
        <v>82</v>
      </c>
      <c r="T81" s="202" t="b">
        <f t="shared" si="36"/>
        <v>1</v>
      </c>
      <c r="U81" s="202">
        <f t="shared" ref="U81:U106" si="46">AA81+AD81+AG81+AJ81+AM81+AP81</f>
        <v>953</v>
      </c>
      <c r="V81" s="206">
        <f t="shared" ref="V81:V106" si="47">W81+X81</f>
        <v>2688</v>
      </c>
      <c r="W81" s="209">
        <v>1999</v>
      </c>
      <c r="X81" s="202">
        <v>689</v>
      </c>
      <c r="Y81" s="206">
        <f t="shared" si="37"/>
        <v>18</v>
      </c>
      <c r="Z81" s="202">
        <v>13</v>
      </c>
      <c r="AA81" s="202">
        <v>5</v>
      </c>
      <c r="AB81" s="206">
        <f t="shared" ref="AB81:AB106" si="48">AC81+AD81</f>
        <v>60</v>
      </c>
      <c r="AC81" s="202">
        <v>44</v>
      </c>
      <c r="AD81" s="202">
        <v>16</v>
      </c>
      <c r="AE81" s="206">
        <f t="shared" ref="AE81:AE106" si="49">AF81+AG81</f>
        <v>0</v>
      </c>
      <c r="AF81" s="202">
        <v>0</v>
      </c>
      <c r="AG81" s="202">
        <v>0</v>
      </c>
      <c r="AH81" s="206">
        <f t="shared" ref="AH81:AH106" si="50">AI81+AJ81</f>
        <v>253</v>
      </c>
      <c r="AI81" s="202">
        <v>151</v>
      </c>
      <c r="AJ81" s="202">
        <v>102</v>
      </c>
      <c r="AK81" s="206">
        <f t="shared" ref="AK81:AK106" si="51">AL81+AM81</f>
        <v>830</v>
      </c>
      <c r="AL81" s="202">
        <v>0</v>
      </c>
      <c r="AM81" s="202">
        <v>830</v>
      </c>
      <c r="AN81" s="206">
        <f t="shared" ref="AN81:AN106" si="52">AO81+AP81</f>
        <v>0</v>
      </c>
      <c r="AO81" s="202"/>
      <c r="AP81" s="202"/>
    </row>
    <row r="82" s="167" customFormat="1" ht="17" customHeight="1" spans="1:42">
      <c r="A82" s="191" t="s">
        <v>84</v>
      </c>
      <c r="B82" s="186">
        <f t="shared" si="38"/>
        <v>13498</v>
      </c>
      <c r="C82" s="186">
        <f t="shared" si="39"/>
        <v>9719</v>
      </c>
      <c r="D82" s="186">
        <v>299</v>
      </c>
      <c r="E82" s="186">
        <f t="shared" si="40"/>
        <v>3779</v>
      </c>
      <c r="F82" s="192">
        <f t="shared" si="41"/>
        <v>6918</v>
      </c>
      <c r="G82" s="186">
        <f t="shared" si="42"/>
        <v>5059</v>
      </c>
      <c r="H82" s="186">
        <v>4760</v>
      </c>
      <c r="I82" s="186">
        <v>299</v>
      </c>
      <c r="J82" s="186">
        <v>1859</v>
      </c>
      <c r="K82" s="201">
        <f t="shared" si="43"/>
        <v>6580</v>
      </c>
      <c r="L82" s="201">
        <f t="shared" si="44"/>
        <v>4660</v>
      </c>
      <c r="M82" s="201">
        <f t="shared" ref="M82:M103" si="53">L82-N82</f>
        <v>1763</v>
      </c>
      <c r="N82" s="201">
        <f t="shared" ref="N82:N106" si="54">W82</f>
        <v>2897</v>
      </c>
      <c r="O82" s="201">
        <f t="shared" si="45"/>
        <v>1920</v>
      </c>
      <c r="P82" s="202"/>
      <c r="Q82" s="202"/>
      <c r="R82" s="202"/>
      <c r="S82" s="75" t="s">
        <v>84</v>
      </c>
      <c r="T82" s="202" t="b">
        <f t="shared" si="36"/>
        <v>1</v>
      </c>
      <c r="U82" s="202">
        <f t="shared" si="46"/>
        <v>605</v>
      </c>
      <c r="V82" s="206">
        <f t="shared" si="47"/>
        <v>4212</v>
      </c>
      <c r="W82" s="209">
        <v>2897</v>
      </c>
      <c r="X82" s="202">
        <v>1315</v>
      </c>
      <c r="Y82" s="206">
        <f t="shared" si="37"/>
        <v>121</v>
      </c>
      <c r="Z82" s="202">
        <v>83</v>
      </c>
      <c r="AA82" s="202">
        <v>38</v>
      </c>
      <c r="AB82" s="206">
        <f t="shared" si="48"/>
        <v>133</v>
      </c>
      <c r="AC82" s="202">
        <v>90</v>
      </c>
      <c r="AD82" s="202">
        <v>43</v>
      </c>
      <c r="AE82" s="206">
        <f t="shared" si="49"/>
        <v>0</v>
      </c>
      <c r="AF82" s="202">
        <v>0</v>
      </c>
      <c r="AG82" s="202">
        <v>0</v>
      </c>
      <c r="AH82" s="206">
        <f t="shared" si="50"/>
        <v>1300</v>
      </c>
      <c r="AI82" s="202">
        <v>776</v>
      </c>
      <c r="AJ82" s="202">
        <v>524</v>
      </c>
      <c r="AK82" s="206">
        <f t="shared" si="51"/>
        <v>814</v>
      </c>
      <c r="AL82" s="202">
        <v>814</v>
      </c>
      <c r="AM82" s="202">
        <v>0</v>
      </c>
      <c r="AN82" s="206">
        <f t="shared" si="52"/>
        <v>0</v>
      </c>
      <c r="AO82" s="202"/>
      <c r="AP82" s="202"/>
    </row>
    <row r="83" ht="17" customHeight="1" spans="1:42">
      <c r="A83" s="191" t="s">
        <v>85</v>
      </c>
      <c r="B83" s="186">
        <f t="shared" si="38"/>
        <v>14488.8</v>
      </c>
      <c r="C83" s="186">
        <f t="shared" si="39"/>
        <v>9391.8</v>
      </c>
      <c r="D83" s="186">
        <v>267</v>
      </c>
      <c r="E83" s="186">
        <f t="shared" si="40"/>
        <v>5097</v>
      </c>
      <c r="F83" s="192">
        <f t="shared" si="41"/>
        <v>7196</v>
      </c>
      <c r="G83" s="186">
        <f t="shared" si="42"/>
        <v>4412</v>
      </c>
      <c r="H83" s="186">
        <v>4145</v>
      </c>
      <c r="I83" s="186">
        <v>267</v>
      </c>
      <c r="J83" s="186">
        <v>2784</v>
      </c>
      <c r="K83" s="201">
        <f t="shared" si="43"/>
        <v>7292.8</v>
      </c>
      <c r="L83" s="201">
        <f t="shared" si="44"/>
        <v>4979.8</v>
      </c>
      <c r="M83" s="201">
        <f t="shared" si="53"/>
        <v>1776.8</v>
      </c>
      <c r="N83" s="201">
        <f t="shared" si="54"/>
        <v>3203</v>
      </c>
      <c r="O83" s="201">
        <f t="shared" si="45"/>
        <v>2313</v>
      </c>
      <c r="P83" s="202"/>
      <c r="Q83" s="202"/>
      <c r="R83" s="202"/>
      <c r="S83" s="75" t="s">
        <v>85</v>
      </c>
      <c r="T83" s="202" t="b">
        <f t="shared" si="36"/>
        <v>1</v>
      </c>
      <c r="U83" s="202">
        <f t="shared" si="46"/>
        <v>1222</v>
      </c>
      <c r="V83" s="206">
        <f t="shared" si="47"/>
        <v>4294</v>
      </c>
      <c r="W83" s="209">
        <v>3203</v>
      </c>
      <c r="X83" s="202">
        <v>1091</v>
      </c>
      <c r="Y83" s="206">
        <f t="shared" si="37"/>
        <v>455</v>
      </c>
      <c r="Z83" s="202">
        <v>365</v>
      </c>
      <c r="AA83" s="202">
        <v>90</v>
      </c>
      <c r="AB83" s="206">
        <f t="shared" si="48"/>
        <v>149</v>
      </c>
      <c r="AC83" s="202">
        <v>109</v>
      </c>
      <c r="AD83" s="202">
        <v>40</v>
      </c>
      <c r="AE83" s="206">
        <f t="shared" si="49"/>
        <v>3.8</v>
      </c>
      <c r="AF83" s="202">
        <v>2.8</v>
      </c>
      <c r="AG83" s="202">
        <v>1</v>
      </c>
      <c r="AH83" s="206">
        <f t="shared" si="50"/>
        <v>1427</v>
      </c>
      <c r="AI83" s="202">
        <v>852</v>
      </c>
      <c r="AJ83" s="202">
        <v>575</v>
      </c>
      <c r="AK83" s="206">
        <f t="shared" si="51"/>
        <v>964</v>
      </c>
      <c r="AL83" s="202">
        <v>448</v>
      </c>
      <c r="AM83" s="202">
        <v>516</v>
      </c>
      <c r="AN83" s="206">
        <f t="shared" si="52"/>
        <v>0</v>
      </c>
      <c r="AO83" s="202"/>
      <c r="AP83" s="202"/>
    </row>
    <row r="84" ht="17" customHeight="1" spans="1:42">
      <c r="A84" s="191" t="s">
        <v>86</v>
      </c>
      <c r="B84" s="186">
        <f t="shared" si="38"/>
        <v>5448</v>
      </c>
      <c r="C84" s="186">
        <f t="shared" si="39"/>
        <v>2865</v>
      </c>
      <c r="D84" s="186">
        <v>116</v>
      </c>
      <c r="E84" s="186">
        <f t="shared" si="40"/>
        <v>2583</v>
      </c>
      <c r="F84" s="192">
        <f t="shared" si="41"/>
        <v>2728</v>
      </c>
      <c r="G84" s="186">
        <f t="shared" si="42"/>
        <v>1449</v>
      </c>
      <c r="H84" s="186">
        <v>1333</v>
      </c>
      <c r="I84" s="186">
        <v>116</v>
      </c>
      <c r="J84" s="186">
        <v>1279</v>
      </c>
      <c r="K84" s="201">
        <f t="shared" si="43"/>
        <v>2720</v>
      </c>
      <c r="L84" s="201">
        <f t="shared" si="44"/>
        <v>1416</v>
      </c>
      <c r="M84" s="201">
        <f t="shared" si="53"/>
        <v>339</v>
      </c>
      <c r="N84" s="201">
        <f t="shared" si="54"/>
        <v>1077</v>
      </c>
      <c r="O84" s="201">
        <f t="shared" si="45"/>
        <v>1304</v>
      </c>
      <c r="P84" s="202"/>
      <c r="Q84" s="202"/>
      <c r="R84" s="202"/>
      <c r="S84" s="75" t="s">
        <v>86</v>
      </c>
      <c r="T84" s="202" t="b">
        <f t="shared" si="36"/>
        <v>1</v>
      </c>
      <c r="U84" s="202">
        <f t="shared" si="46"/>
        <v>936</v>
      </c>
      <c r="V84" s="206">
        <f t="shared" si="47"/>
        <v>1445</v>
      </c>
      <c r="W84" s="209">
        <v>1077</v>
      </c>
      <c r="X84" s="202">
        <v>368</v>
      </c>
      <c r="Y84" s="206">
        <f t="shared" si="37"/>
        <v>16</v>
      </c>
      <c r="Z84" s="202">
        <v>11</v>
      </c>
      <c r="AA84" s="202">
        <v>5</v>
      </c>
      <c r="AB84" s="206">
        <f t="shared" si="48"/>
        <v>21</v>
      </c>
      <c r="AC84" s="202">
        <v>16</v>
      </c>
      <c r="AD84" s="202">
        <v>5</v>
      </c>
      <c r="AE84" s="206">
        <f t="shared" si="49"/>
        <v>0</v>
      </c>
      <c r="AF84" s="202">
        <v>0</v>
      </c>
      <c r="AG84" s="202">
        <v>0</v>
      </c>
      <c r="AH84" s="206">
        <f t="shared" si="50"/>
        <v>523</v>
      </c>
      <c r="AI84" s="202">
        <v>312</v>
      </c>
      <c r="AJ84" s="202">
        <v>211</v>
      </c>
      <c r="AK84" s="206">
        <f t="shared" si="51"/>
        <v>715</v>
      </c>
      <c r="AL84" s="202">
        <v>0</v>
      </c>
      <c r="AM84" s="202">
        <v>715</v>
      </c>
      <c r="AN84" s="206">
        <f t="shared" si="52"/>
        <v>0</v>
      </c>
      <c r="AO84" s="202"/>
      <c r="AP84" s="202"/>
    </row>
    <row r="85" ht="17" customHeight="1" spans="1:42">
      <c r="A85" s="191" t="s">
        <v>87</v>
      </c>
      <c r="B85" s="186">
        <f t="shared" si="38"/>
        <v>12244.2</v>
      </c>
      <c r="C85" s="186">
        <f t="shared" si="39"/>
        <v>9241.2</v>
      </c>
      <c r="D85" s="186">
        <v>220</v>
      </c>
      <c r="E85" s="186">
        <f t="shared" si="40"/>
        <v>3003</v>
      </c>
      <c r="F85" s="192">
        <f t="shared" si="41"/>
        <v>6062</v>
      </c>
      <c r="G85" s="186">
        <f t="shared" si="42"/>
        <v>4595</v>
      </c>
      <c r="H85" s="186">
        <v>4375</v>
      </c>
      <c r="I85" s="186">
        <v>220</v>
      </c>
      <c r="J85" s="186">
        <v>1467</v>
      </c>
      <c r="K85" s="201">
        <f t="shared" si="43"/>
        <v>6182.2</v>
      </c>
      <c r="L85" s="201">
        <f t="shared" si="44"/>
        <v>4646.2</v>
      </c>
      <c r="M85" s="201">
        <f t="shared" si="53"/>
        <v>1699.2</v>
      </c>
      <c r="N85" s="201">
        <f t="shared" si="54"/>
        <v>2947</v>
      </c>
      <c r="O85" s="201">
        <f t="shared" si="45"/>
        <v>1536</v>
      </c>
      <c r="P85" s="202"/>
      <c r="Q85" s="202"/>
      <c r="R85" s="202"/>
      <c r="S85" s="76" t="s">
        <v>87</v>
      </c>
      <c r="T85" s="202" t="b">
        <f t="shared" si="36"/>
        <v>1</v>
      </c>
      <c r="U85" s="202">
        <f t="shared" si="46"/>
        <v>531</v>
      </c>
      <c r="V85" s="206">
        <f t="shared" si="47"/>
        <v>3952</v>
      </c>
      <c r="W85" s="209">
        <v>2947</v>
      </c>
      <c r="X85" s="202">
        <v>1005</v>
      </c>
      <c r="Y85" s="206">
        <f t="shared" si="37"/>
        <v>52</v>
      </c>
      <c r="Z85" s="202">
        <v>36</v>
      </c>
      <c r="AA85" s="202">
        <v>16</v>
      </c>
      <c r="AB85" s="206">
        <f t="shared" si="48"/>
        <v>112</v>
      </c>
      <c r="AC85" s="202">
        <v>82</v>
      </c>
      <c r="AD85" s="202">
        <v>30</v>
      </c>
      <c r="AE85" s="206">
        <f t="shared" si="49"/>
        <v>2.2</v>
      </c>
      <c r="AF85" s="202">
        <v>1.2</v>
      </c>
      <c r="AG85" s="202">
        <v>1</v>
      </c>
      <c r="AH85" s="206">
        <f t="shared" si="50"/>
        <v>1114</v>
      </c>
      <c r="AI85" s="202">
        <v>665</v>
      </c>
      <c r="AJ85" s="202">
        <v>449</v>
      </c>
      <c r="AK85" s="206">
        <f t="shared" si="51"/>
        <v>950</v>
      </c>
      <c r="AL85" s="202">
        <v>915</v>
      </c>
      <c r="AM85" s="202">
        <v>35</v>
      </c>
      <c r="AN85" s="206">
        <f t="shared" si="52"/>
        <v>0</v>
      </c>
      <c r="AO85" s="202"/>
      <c r="AP85" s="202"/>
    </row>
    <row r="86" ht="17" customHeight="1" spans="1:42">
      <c r="A86" s="193" t="s">
        <v>88</v>
      </c>
      <c r="B86" s="189">
        <f t="shared" si="38"/>
        <v>8622.4</v>
      </c>
      <c r="C86" s="189">
        <f t="shared" si="39"/>
        <v>5216.6</v>
      </c>
      <c r="D86" s="189">
        <v>48</v>
      </c>
      <c r="E86" s="189">
        <f t="shared" si="40"/>
        <v>3405.8</v>
      </c>
      <c r="F86" s="192">
        <f t="shared" si="41"/>
        <v>4477.4</v>
      </c>
      <c r="G86" s="186">
        <f t="shared" si="42"/>
        <v>2389.6</v>
      </c>
      <c r="H86" s="189">
        <v>2341.6</v>
      </c>
      <c r="I86" s="189">
        <v>48</v>
      </c>
      <c r="J86" s="189">
        <v>2087.8</v>
      </c>
      <c r="K86" s="199">
        <f t="shared" si="43"/>
        <v>4145</v>
      </c>
      <c r="L86" s="199">
        <f t="shared" si="44"/>
        <v>2827</v>
      </c>
      <c r="M86" s="201">
        <f t="shared" si="53"/>
        <v>650</v>
      </c>
      <c r="N86" s="201">
        <f t="shared" si="54"/>
        <v>2177</v>
      </c>
      <c r="O86" s="199">
        <f t="shared" si="45"/>
        <v>1318</v>
      </c>
      <c r="P86" s="200"/>
      <c r="Q86" s="200"/>
      <c r="R86" s="200"/>
      <c r="S86" s="71" t="s">
        <v>88</v>
      </c>
      <c r="T86" s="202" t="b">
        <f t="shared" si="36"/>
        <v>1</v>
      </c>
      <c r="U86" s="202">
        <f t="shared" si="46"/>
        <v>567</v>
      </c>
      <c r="V86" s="206">
        <f t="shared" si="47"/>
        <v>2928</v>
      </c>
      <c r="W86" s="210">
        <v>2177</v>
      </c>
      <c r="X86" s="202">
        <v>751</v>
      </c>
      <c r="Y86" s="206">
        <f t="shared" si="37"/>
        <v>141</v>
      </c>
      <c r="Z86" s="202">
        <v>109</v>
      </c>
      <c r="AA86" s="202">
        <v>32</v>
      </c>
      <c r="AB86" s="206">
        <f t="shared" si="48"/>
        <v>69</v>
      </c>
      <c r="AC86" s="202">
        <v>51</v>
      </c>
      <c r="AD86" s="202">
        <v>18</v>
      </c>
      <c r="AE86" s="206">
        <f t="shared" si="49"/>
        <v>1</v>
      </c>
      <c r="AF86" s="202">
        <v>1</v>
      </c>
      <c r="AG86" s="202">
        <v>0</v>
      </c>
      <c r="AH86" s="206">
        <f t="shared" si="50"/>
        <v>230</v>
      </c>
      <c r="AI86" s="202">
        <v>137</v>
      </c>
      <c r="AJ86" s="202">
        <v>93</v>
      </c>
      <c r="AK86" s="206">
        <f t="shared" si="51"/>
        <v>776</v>
      </c>
      <c r="AL86" s="202">
        <v>352</v>
      </c>
      <c r="AM86" s="202">
        <v>424</v>
      </c>
      <c r="AN86" s="206">
        <f t="shared" si="52"/>
        <v>0</v>
      </c>
      <c r="AO86" s="202"/>
      <c r="AP86" s="202"/>
    </row>
    <row r="87" ht="17" customHeight="1" spans="1:42">
      <c r="A87" s="191" t="s">
        <v>26</v>
      </c>
      <c r="B87" s="186">
        <f t="shared" si="38"/>
        <v>974.4</v>
      </c>
      <c r="C87" s="186">
        <f t="shared" si="39"/>
        <v>723.6</v>
      </c>
      <c r="D87" s="186">
        <v>0</v>
      </c>
      <c r="E87" s="186">
        <f t="shared" si="40"/>
        <v>250.8</v>
      </c>
      <c r="F87" s="192">
        <f t="shared" si="41"/>
        <v>455.4</v>
      </c>
      <c r="G87" s="186">
        <f t="shared" si="42"/>
        <v>337.6</v>
      </c>
      <c r="H87" s="186">
        <v>337.6</v>
      </c>
      <c r="I87" s="186">
        <v>0</v>
      </c>
      <c r="J87" s="186">
        <v>117.8</v>
      </c>
      <c r="K87" s="201">
        <f t="shared" si="43"/>
        <v>519</v>
      </c>
      <c r="L87" s="201">
        <f t="shared" si="44"/>
        <v>386</v>
      </c>
      <c r="M87" s="201">
        <f t="shared" si="53"/>
        <v>27</v>
      </c>
      <c r="N87" s="201">
        <f t="shared" si="54"/>
        <v>359</v>
      </c>
      <c r="O87" s="201">
        <f t="shared" si="45"/>
        <v>133</v>
      </c>
      <c r="P87" s="202"/>
      <c r="Q87" s="202"/>
      <c r="R87" s="202"/>
      <c r="S87" s="71" t="s">
        <v>26</v>
      </c>
      <c r="T87" s="202" t="b">
        <f t="shared" si="36"/>
        <v>1</v>
      </c>
      <c r="U87" s="202">
        <f t="shared" si="46"/>
        <v>9</v>
      </c>
      <c r="V87" s="206">
        <f t="shared" si="47"/>
        <v>483</v>
      </c>
      <c r="W87" s="209">
        <v>359</v>
      </c>
      <c r="X87" s="202">
        <v>124</v>
      </c>
      <c r="Y87" s="206">
        <f t="shared" si="37"/>
        <v>10</v>
      </c>
      <c r="Z87" s="202">
        <v>7</v>
      </c>
      <c r="AA87" s="202">
        <v>3</v>
      </c>
      <c r="AB87" s="206">
        <f t="shared" si="48"/>
        <v>25</v>
      </c>
      <c r="AC87" s="202">
        <v>19</v>
      </c>
      <c r="AD87" s="202">
        <v>6</v>
      </c>
      <c r="AE87" s="206">
        <f t="shared" si="49"/>
        <v>1</v>
      </c>
      <c r="AF87" s="202">
        <v>1</v>
      </c>
      <c r="AG87" s="202">
        <v>0</v>
      </c>
      <c r="AH87" s="206">
        <f t="shared" si="50"/>
        <v>0</v>
      </c>
      <c r="AI87" s="202">
        <v>0</v>
      </c>
      <c r="AJ87" s="202">
        <v>0</v>
      </c>
      <c r="AK87" s="206">
        <f t="shared" si="51"/>
        <v>0</v>
      </c>
      <c r="AL87" s="202">
        <v>0</v>
      </c>
      <c r="AM87" s="202">
        <v>0</v>
      </c>
      <c r="AN87" s="206">
        <f t="shared" si="52"/>
        <v>0</v>
      </c>
      <c r="AO87" s="202"/>
      <c r="AP87" s="202"/>
    </row>
    <row r="88" ht="17" customHeight="1" spans="1:42">
      <c r="A88" s="191" t="s">
        <v>89</v>
      </c>
      <c r="B88" s="186">
        <f t="shared" si="38"/>
        <v>7648</v>
      </c>
      <c r="C88" s="186">
        <f t="shared" si="39"/>
        <v>4493</v>
      </c>
      <c r="D88" s="186">
        <v>48</v>
      </c>
      <c r="E88" s="186">
        <f t="shared" si="40"/>
        <v>3155</v>
      </c>
      <c r="F88" s="192">
        <f t="shared" si="41"/>
        <v>4022</v>
      </c>
      <c r="G88" s="186">
        <f t="shared" si="42"/>
        <v>2052</v>
      </c>
      <c r="H88" s="186">
        <v>2004</v>
      </c>
      <c r="I88" s="186">
        <v>48</v>
      </c>
      <c r="J88" s="186">
        <v>1970</v>
      </c>
      <c r="K88" s="201">
        <f t="shared" si="43"/>
        <v>3626</v>
      </c>
      <c r="L88" s="201">
        <f t="shared" si="44"/>
        <v>2441</v>
      </c>
      <c r="M88" s="201">
        <f t="shared" si="53"/>
        <v>623</v>
      </c>
      <c r="N88" s="201">
        <f t="shared" si="54"/>
        <v>1818</v>
      </c>
      <c r="O88" s="201">
        <f t="shared" si="45"/>
        <v>1185</v>
      </c>
      <c r="P88" s="202"/>
      <c r="Q88" s="202"/>
      <c r="R88" s="202"/>
      <c r="S88" s="75" t="s">
        <v>89</v>
      </c>
      <c r="T88" s="202" t="b">
        <f t="shared" si="36"/>
        <v>1</v>
      </c>
      <c r="U88" s="202">
        <f t="shared" si="46"/>
        <v>558</v>
      </c>
      <c r="V88" s="206">
        <f t="shared" si="47"/>
        <v>2445</v>
      </c>
      <c r="W88" s="209">
        <v>1818</v>
      </c>
      <c r="X88" s="202">
        <v>627</v>
      </c>
      <c r="Y88" s="206">
        <f t="shared" si="37"/>
        <v>131</v>
      </c>
      <c r="Z88" s="202">
        <v>102</v>
      </c>
      <c r="AA88" s="202">
        <v>29</v>
      </c>
      <c r="AB88" s="206">
        <f t="shared" si="48"/>
        <v>44</v>
      </c>
      <c r="AC88" s="202">
        <v>32</v>
      </c>
      <c r="AD88" s="202">
        <v>12</v>
      </c>
      <c r="AE88" s="206">
        <f t="shared" si="49"/>
        <v>0</v>
      </c>
      <c r="AF88" s="202">
        <v>0</v>
      </c>
      <c r="AG88" s="202">
        <v>0</v>
      </c>
      <c r="AH88" s="206">
        <f t="shared" si="50"/>
        <v>230</v>
      </c>
      <c r="AI88" s="202">
        <v>137</v>
      </c>
      <c r="AJ88" s="202">
        <v>93</v>
      </c>
      <c r="AK88" s="206">
        <f t="shared" si="51"/>
        <v>776</v>
      </c>
      <c r="AL88" s="202">
        <v>352</v>
      </c>
      <c r="AM88" s="202">
        <v>424</v>
      </c>
      <c r="AN88" s="206">
        <f t="shared" si="52"/>
        <v>0</v>
      </c>
      <c r="AO88" s="202"/>
      <c r="AP88" s="202"/>
    </row>
    <row r="89" ht="17" customHeight="1" spans="1:42">
      <c r="A89" s="191" t="s">
        <v>90</v>
      </c>
      <c r="B89" s="186">
        <f t="shared" si="38"/>
        <v>7086.6</v>
      </c>
      <c r="C89" s="186">
        <f t="shared" si="39"/>
        <v>5787.6</v>
      </c>
      <c r="D89" s="186">
        <v>226</v>
      </c>
      <c r="E89" s="186">
        <f t="shared" si="40"/>
        <v>1299</v>
      </c>
      <c r="F89" s="192">
        <f t="shared" si="41"/>
        <v>3661</v>
      </c>
      <c r="G89" s="186">
        <f t="shared" si="42"/>
        <v>3027</v>
      </c>
      <c r="H89" s="186">
        <v>2801</v>
      </c>
      <c r="I89" s="186">
        <v>226</v>
      </c>
      <c r="J89" s="186">
        <v>634</v>
      </c>
      <c r="K89" s="201">
        <f t="shared" si="43"/>
        <v>3425.6</v>
      </c>
      <c r="L89" s="201">
        <f t="shared" si="44"/>
        <v>2760.6</v>
      </c>
      <c r="M89" s="201">
        <f t="shared" si="53"/>
        <v>1626.6</v>
      </c>
      <c r="N89" s="201">
        <f t="shared" si="54"/>
        <v>1134</v>
      </c>
      <c r="O89" s="201">
        <f t="shared" si="45"/>
        <v>665</v>
      </c>
      <c r="P89" s="202"/>
      <c r="Q89" s="202"/>
      <c r="R89" s="202"/>
      <c r="S89" s="75" t="s">
        <v>90</v>
      </c>
      <c r="T89" s="202" t="b">
        <f t="shared" si="36"/>
        <v>1</v>
      </c>
      <c r="U89" s="202">
        <f t="shared" si="46"/>
        <v>278</v>
      </c>
      <c r="V89" s="206">
        <f t="shared" si="47"/>
        <v>1521</v>
      </c>
      <c r="W89" s="209">
        <v>1134</v>
      </c>
      <c r="X89" s="202">
        <v>387</v>
      </c>
      <c r="Y89" s="206">
        <f t="shared" si="37"/>
        <v>146</v>
      </c>
      <c r="Z89" s="202">
        <v>119</v>
      </c>
      <c r="AA89" s="202">
        <v>27</v>
      </c>
      <c r="AB89" s="206">
        <f t="shared" si="48"/>
        <v>91</v>
      </c>
      <c r="AC89" s="202">
        <v>67</v>
      </c>
      <c r="AD89" s="202">
        <v>24</v>
      </c>
      <c r="AE89" s="206">
        <f t="shared" si="49"/>
        <v>4.6</v>
      </c>
      <c r="AF89" s="202">
        <v>3.6</v>
      </c>
      <c r="AG89" s="202">
        <v>1</v>
      </c>
      <c r="AH89" s="206">
        <f t="shared" si="50"/>
        <v>534</v>
      </c>
      <c r="AI89" s="202">
        <v>319</v>
      </c>
      <c r="AJ89" s="202">
        <v>215</v>
      </c>
      <c r="AK89" s="206">
        <f t="shared" si="51"/>
        <v>601</v>
      </c>
      <c r="AL89" s="202">
        <v>590</v>
      </c>
      <c r="AM89" s="202">
        <v>11</v>
      </c>
      <c r="AN89" s="206">
        <f t="shared" si="52"/>
        <v>528</v>
      </c>
      <c r="AO89" s="202">
        <v>528</v>
      </c>
      <c r="AP89" s="202"/>
    </row>
    <row r="90" ht="17" customHeight="1" spans="1:42">
      <c r="A90" s="191" t="s">
        <v>91</v>
      </c>
      <c r="B90" s="186">
        <f t="shared" si="38"/>
        <v>9823.8</v>
      </c>
      <c r="C90" s="186">
        <f t="shared" si="39"/>
        <v>7935</v>
      </c>
      <c r="D90" s="186">
        <v>361</v>
      </c>
      <c r="E90" s="186">
        <f t="shared" si="40"/>
        <v>1888.8</v>
      </c>
      <c r="F90" s="192">
        <f t="shared" si="41"/>
        <v>5096</v>
      </c>
      <c r="G90" s="186">
        <f t="shared" si="42"/>
        <v>4182.2</v>
      </c>
      <c r="H90" s="186">
        <v>3821.2</v>
      </c>
      <c r="I90" s="186">
        <v>361</v>
      </c>
      <c r="J90" s="186">
        <v>913.8</v>
      </c>
      <c r="K90" s="201">
        <f t="shared" si="43"/>
        <v>4727.8</v>
      </c>
      <c r="L90" s="201">
        <f t="shared" si="44"/>
        <v>3752.8</v>
      </c>
      <c r="M90" s="201">
        <f t="shared" si="53"/>
        <v>2232.8</v>
      </c>
      <c r="N90" s="201">
        <f t="shared" si="54"/>
        <v>1520</v>
      </c>
      <c r="O90" s="201">
        <f t="shared" si="45"/>
        <v>975</v>
      </c>
      <c r="P90" s="202"/>
      <c r="Q90" s="202"/>
      <c r="R90" s="202"/>
      <c r="S90" s="75" t="s">
        <v>91</v>
      </c>
      <c r="T90" s="202" t="b">
        <f t="shared" si="36"/>
        <v>1</v>
      </c>
      <c r="U90" s="202">
        <f t="shared" si="46"/>
        <v>458</v>
      </c>
      <c r="V90" s="206">
        <f t="shared" si="47"/>
        <v>2037</v>
      </c>
      <c r="W90" s="209">
        <v>1520</v>
      </c>
      <c r="X90" s="202">
        <v>517</v>
      </c>
      <c r="Y90" s="206">
        <f t="shared" si="37"/>
        <v>184</v>
      </c>
      <c r="Z90" s="202">
        <v>141</v>
      </c>
      <c r="AA90" s="202">
        <v>43</v>
      </c>
      <c r="AB90" s="206">
        <f t="shared" si="48"/>
        <v>103</v>
      </c>
      <c r="AC90" s="202">
        <v>76</v>
      </c>
      <c r="AD90" s="202">
        <v>27</v>
      </c>
      <c r="AE90" s="206">
        <f t="shared" si="49"/>
        <v>6.8</v>
      </c>
      <c r="AF90" s="202">
        <v>4.8</v>
      </c>
      <c r="AG90" s="202">
        <v>2</v>
      </c>
      <c r="AH90" s="206">
        <f t="shared" si="50"/>
        <v>730</v>
      </c>
      <c r="AI90" s="202">
        <v>437</v>
      </c>
      <c r="AJ90" s="202">
        <v>293</v>
      </c>
      <c r="AK90" s="206">
        <f t="shared" si="51"/>
        <v>705</v>
      </c>
      <c r="AL90" s="202">
        <v>612</v>
      </c>
      <c r="AM90" s="202">
        <v>93</v>
      </c>
      <c r="AN90" s="206">
        <f t="shared" si="52"/>
        <v>962</v>
      </c>
      <c r="AO90" s="202">
        <v>962</v>
      </c>
      <c r="AP90" s="202"/>
    </row>
    <row r="91" ht="17" customHeight="1" spans="1:42">
      <c r="A91" s="191" t="s">
        <v>92</v>
      </c>
      <c r="B91" s="186">
        <f t="shared" si="38"/>
        <v>8369.7</v>
      </c>
      <c r="C91" s="186">
        <f t="shared" si="39"/>
        <v>6463.7</v>
      </c>
      <c r="D91" s="186">
        <v>155</v>
      </c>
      <c r="E91" s="186">
        <f t="shared" si="40"/>
        <v>1906</v>
      </c>
      <c r="F91" s="192">
        <f t="shared" si="41"/>
        <v>4216</v>
      </c>
      <c r="G91" s="186">
        <f t="shared" si="42"/>
        <v>3273</v>
      </c>
      <c r="H91" s="186">
        <v>3118</v>
      </c>
      <c r="I91" s="186">
        <v>155</v>
      </c>
      <c r="J91" s="186">
        <v>943</v>
      </c>
      <c r="K91" s="201">
        <f t="shared" si="43"/>
        <v>4153.7</v>
      </c>
      <c r="L91" s="201">
        <f t="shared" si="44"/>
        <v>3190.7</v>
      </c>
      <c r="M91" s="201">
        <f t="shared" si="53"/>
        <v>1484.7</v>
      </c>
      <c r="N91" s="201">
        <f t="shared" si="54"/>
        <v>1706</v>
      </c>
      <c r="O91" s="201">
        <f t="shared" si="45"/>
        <v>963</v>
      </c>
      <c r="P91" s="202"/>
      <c r="Q91" s="202"/>
      <c r="R91" s="202"/>
      <c r="S91" s="75" t="s">
        <v>92</v>
      </c>
      <c r="T91" s="202" t="b">
        <f t="shared" si="36"/>
        <v>1</v>
      </c>
      <c r="U91" s="202">
        <f t="shared" si="46"/>
        <v>381</v>
      </c>
      <c r="V91" s="206">
        <f t="shared" si="47"/>
        <v>2288</v>
      </c>
      <c r="W91" s="209">
        <v>1706</v>
      </c>
      <c r="X91" s="202">
        <v>582</v>
      </c>
      <c r="Y91" s="206">
        <f t="shared" si="37"/>
        <v>138</v>
      </c>
      <c r="Z91" s="202">
        <v>107</v>
      </c>
      <c r="AA91" s="202">
        <v>31</v>
      </c>
      <c r="AB91" s="206">
        <f t="shared" si="48"/>
        <v>76</v>
      </c>
      <c r="AC91" s="202">
        <v>56</v>
      </c>
      <c r="AD91" s="202">
        <v>20</v>
      </c>
      <c r="AE91" s="206">
        <f t="shared" si="49"/>
        <v>0.7</v>
      </c>
      <c r="AF91" s="202">
        <v>0.7</v>
      </c>
      <c r="AG91" s="202">
        <v>0</v>
      </c>
      <c r="AH91" s="206">
        <f t="shared" si="50"/>
        <v>820</v>
      </c>
      <c r="AI91" s="202">
        <v>490</v>
      </c>
      <c r="AJ91" s="202">
        <v>330</v>
      </c>
      <c r="AK91" s="206">
        <f t="shared" si="51"/>
        <v>831</v>
      </c>
      <c r="AL91" s="202">
        <v>831</v>
      </c>
      <c r="AM91" s="202">
        <v>0</v>
      </c>
      <c r="AN91" s="206">
        <f t="shared" si="52"/>
        <v>0</v>
      </c>
      <c r="AO91" s="202"/>
      <c r="AP91" s="202"/>
    </row>
    <row r="92" ht="17" customHeight="1" spans="1:42">
      <c r="A92" s="191" t="s">
        <v>93</v>
      </c>
      <c r="B92" s="186">
        <f t="shared" si="38"/>
        <v>7725.5</v>
      </c>
      <c r="C92" s="186">
        <f t="shared" si="39"/>
        <v>6303.5</v>
      </c>
      <c r="D92" s="186">
        <v>289</v>
      </c>
      <c r="E92" s="186">
        <f t="shared" si="40"/>
        <v>1422</v>
      </c>
      <c r="F92" s="192">
        <f t="shared" si="41"/>
        <v>4108</v>
      </c>
      <c r="G92" s="186">
        <f t="shared" si="42"/>
        <v>3407</v>
      </c>
      <c r="H92" s="186">
        <v>3118</v>
      </c>
      <c r="I92" s="186">
        <v>289</v>
      </c>
      <c r="J92" s="186">
        <v>701</v>
      </c>
      <c r="K92" s="201">
        <f t="shared" si="43"/>
        <v>3617.5</v>
      </c>
      <c r="L92" s="201">
        <f t="shared" si="44"/>
        <v>2896.5</v>
      </c>
      <c r="M92" s="201">
        <f t="shared" si="53"/>
        <v>1651.5</v>
      </c>
      <c r="N92" s="201">
        <f t="shared" si="54"/>
        <v>1245</v>
      </c>
      <c r="O92" s="201">
        <f t="shared" si="45"/>
        <v>721</v>
      </c>
      <c r="P92" s="202"/>
      <c r="Q92" s="202"/>
      <c r="R92" s="202"/>
      <c r="S92" s="76" t="s">
        <v>93</v>
      </c>
      <c r="T92" s="202" t="b">
        <f t="shared" si="36"/>
        <v>1</v>
      </c>
      <c r="U92" s="202">
        <f t="shared" si="46"/>
        <v>297</v>
      </c>
      <c r="V92" s="206">
        <f t="shared" si="47"/>
        <v>1669</v>
      </c>
      <c r="W92" s="209">
        <v>1245</v>
      </c>
      <c r="X92" s="202">
        <v>424</v>
      </c>
      <c r="Y92" s="206">
        <f t="shared" si="37"/>
        <v>132</v>
      </c>
      <c r="Z92" s="202">
        <v>108</v>
      </c>
      <c r="AA92" s="202">
        <v>24</v>
      </c>
      <c r="AB92" s="206">
        <f t="shared" si="48"/>
        <v>122</v>
      </c>
      <c r="AC92" s="202">
        <v>90</v>
      </c>
      <c r="AD92" s="202">
        <v>32</v>
      </c>
      <c r="AE92" s="206">
        <f t="shared" si="49"/>
        <v>7.5</v>
      </c>
      <c r="AF92" s="202">
        <v>5.5</v>
      </c>
      <c r="AG92" s="202">
        <v>2</v>
      </c>
      <c r="AH92" s="206">
        <f t="shared" si="50"/>
        <v>592</v>
      </c>
      <c r="AI92" s="202">
        <v>353</v>
      </c>
      <c r="AJ92" s="202">
        <v>239</v>
      </c>
      <c r="AK92" s="206">
        <f t="shared" si="51"/>
        <v>334</v>
      </c>
      <c r="AL92" s="202">
        <v>334</v>
      </c>
      <c r="AM92" s="202">
        <v>0</v>
      </c>
      <c r="AN92" s="206">
        <f t="shared" si="52"/>
        <v>761</v>
      </c>
      <c r="AO92" s="202">
        <v>761</v>
      </c>
      <c r="AP92" s="202"/>
    </row>
    <row r="93" ht="17" customHeight="1" spans="1:42">
      <c r="A93" s="193" t="s">
        <v>94</v>
      </c>
      <c r="B93" s="189">
        <f t="shared" si="38"/>
        <v>39334.4</v>
      </c>
      <c r="C93" s="189">
        <f t="shared" si="39"/>
        <v>29091.6</v>
      </c>
      <c r="D93" s="189">
        <v>817</v>
      </c>
      <c r="E93" s="189">
        <f t="shared" si="40"/>
        <v>10242.8</v>
      </c>
      <c r="F93" s="192">
        <f t="shared" si="41"/>
        <v>19947.9</v>
      </c>
      <c r="G93" s="186">
        <f t="shared" si="42"/>
        <v>14472.1</v>
      </c>
      <c r="H93" s="189">
        <v>13655.1</v>
      </c>
      <c r="I93" s="189">
        <v>817</v>
      </c>
      <c r="J93" s="189">
        <v>5475.8</v>
      </c>
      <c r="K93" s="199">
        <f t="shared" si="43"/>
        <v>19386.5</v>
      </c>
      <c r="L93" s="199">
        <f t="shared" si="44"/>
        <v>14619.5</v>
      </c>
      <c r="M93" s="201">
        <f t="shared" si="53"/>
        <v>4726.5</v>
      </c>
      <c r="N93" s="201">
        <f t="shared" si="54"/>
        <v>9893</v>
      </c>
      <c r="O93" s="199">
        <f t="shared" si="45"/>
        <v>4767</v>
      </c>
      <c r="P93" s="200"/>
      <c r="Q93" s="200"/>
      <c r="R93" s="200"/>
      <c r="S93" s="71" t="s">
        <v>94</v>
      </c>
      <c r="T93" s="202" t="b">
        <f t="shared" si="36"/>
        <v>1</v>
      </c>
      <c r="U93" s="202">
        <f t="shared" si="46"/>
        <v>3498</v>
      </c>
      <c r="V93" s="206">
        <f t="shared" si="47"/>
        <v>11162</v>
      </c>
      <c r="W93" s="202">
        <v>9893</v>
      </c>
      <c r="X93" s="202">
        <v>1269</v>
      </c>
      <c r="Y93" s="206">
        <f t="shared" si="37"/>
        <v>198</v>
      </c>
      <c r="Z93" s="202">
        <v>153</v>
      </c>
      <c r="AA93" s="202">
        <v>45</v>
      </c>
      <c r="AB93" s="206">
        <f t="shared" si="48"/>
        <v>490</v>
      </c>
      <c r="AC93" s="202">
        <v>433</v>
      </c>
      <c r="AD93" s="202">
        <v>57</v>
      </c>
      <c r="AE93" s="206">
        <f t="shared" si="49"/>
        <v>14.5</v>
      </c>
      <c r="AF93" s="202">
        <v>9.5</v>
      </c>
      <c r="AG93" s="202">
        <v>5</v>
      </c>
      <c r="AH93" s="206">
        <f t="shared" si="50"/>
        <v>3788</v>
      </c>
      <c r="AI93" s="202">
        <v>2262</v>
      </c>
      <c r="AJ93" s="202">
        <v>1526</v>
      </c>
      <c r="AK93" s="206">
        <f t="shared" si="51"/>
        <v>1516</v>
      </c>
      <c r="AL93" s="202">
        <v>1426</v>
      </c>
      <c r="AM93" s="202">
        <v>90</v>
      </c>
      <c r="AN93" s="206">
        <f t="shared" si="52"/>
        <v>2218</v>
      </c>
      <c r="AO93" s="202">
        <v>443</v>
      </c>
      <c r="AP93" s="202">
        <v>1775</v>
      </c>
    </row>
    <row r="94" ht="17" customHeight="1" spans="1:42">
      <c r="A94" s="191" t="s">
        <v>26</v>
      </c>
      <c r="B94" s="186">
        <f t="shared" si="38"/>
        <v>166.1</v>
      </c>
      <c r="C94" s="186">
        <f t="shared" si="39"/>
        <v>130.5</v>
      </c>
      <c r="D94" s="186">
        <v>0</v>
      </c>
      <c r="E94" s="186">
        <f t="shared" si="40"/>
        <v>35.6</v>
      </c>
      <c r="F94" s="192">
        <f t="shared" si="41"/>
        <v>87.7</v>
      </c>
      <c r="G94" s="186">
        <f t="shared" si="42"/>
        <v>67.1</v>
      </c>
      <c r="H94" s="186">
        <v>67.1</v>
      </c>
      <c r="I94" s="186">
        <v>0</v>
      </c>
      <c r="J94" s="186">
        <v>20.6</v>
      </c>
      <c r="K94" s="201">
        <f t="shared" si="43"/>
        <v>78.4</v>
      </c>
      <c r="L94" s="201">
        <f t="shared" si="44"/>
        <v>63.4</v>
      </c>
      <c r="M94" s="201">
        <f t="shared" si="53"/>
        <v>63.4</v>
      </c>
      <c r="N94" s="201">
        <f t="shared" si="54"/>
        <v>0</v>
      </c>
      <c r="O94" s="201">
        <f t="shared" si="45"/>
        <v>15</v>
      </c>
      <c r="P94" s="202"/>
      <c r="Q94" s="202"/>
      <c r="R94" s="202"/>
      <c r="S94" s="71" t="s">
        <v>26</v>
      </c>
      <c r="T94" s="202" t="b">
        <f t="shared" si="36"/>
        <v>1</v>
      </c>
      <c r="U94" s="202">
        <f t="shared" si="46"/>
        <v>15</v>
      </c>
      <c r="V94" s="206">
        <f t="shared" si="47"/>
        <v>0</v>
      </c>
      <c r="W94" s="209">
        <v>0</v>
      </c>
      <c r="X94" s="202">
        <v>0</v>
      </c>
      <c r="Y94" s="206">
        <f t="shared" si="37"/>
        <v>3</v>
      </c>
      <c r="Z94" s="202">
        <v>2</v>
      </c>
      <c r="AA94" s="202">
        <v>1</v>
      </c>
      <c r="AB94" s="206">
        <f t="shared" si="48"/>
        <v>64</v>
      </c>
      <c r="AC94" s="202">
        <v>57</v>
      </c>
      <c r="AD94" s="202">
        <v>7</v>
      </c>
      <c r="AE94" s="206">
        <f t="shared" si="49"/>
        <v>5.4</v>
      </c>
      <c r="AF94" s="202">
        <v>3.4</v>
      </c>
      <c r="AG94" s="202">
        <v>2</v>
      </c>
      <c r="AH94" s="206">
        <f t="shared" si="50"/>
        <v>0</v>
      </c>
      <c r="AI94" s="202">
        <v>0</v>
      </c>
      <c r="AJ94" s="202">
        <v>0</v>
      </c>
      <c r="AK94" s="206">
        <f t="shared" si="51"/>
        <v>0</v>
      </c>
      <c r="AL94" s="202">
        <v>0</v>
      </c>
      <c r="AM94" s="202">
        <v>0</v>
      </c>
      <c r="AN94" s="206">
        <f t="shared" si="52"/>
        <v>6</v>
      </c>
      <c r="AO94" s="202">
        <v>1</v>
      </c>
      <c r="AP94" s="202">
        <v>5</v>
      </c>
    </row>
    <row r="95" ht="17" customHeight="1" spans="1:42">
      <c r="A95" s="191" t="s">
        <v>95</v>
      </c>
      <c r="B95" s="186">
        <f t="shared" si="38"/>
        <v>11583</v>
      </c>
      <c r="C95" s="186">
        <f t="shared" si="39"/>
        <v>9044</v>
      </c>
      <c r="D95" s="186">
        <v>333</v>
      </c>
      <c r="E95" s="186">
        <f t="shared" si="40"/>
        <v>2539</v>
      </c>
      <c r="F95" s="192">
        <f t="shared" si="41"/>
        <v>5739</v>
      </c>
      <c r="G95" s="186">
        <f t="shared" si="42"/>
        <v>4488</v>
      </c>
      <c r="H95" s="186">
        <v>4155</v>
      </c>
      <c r="I95" s="186">
        <v>333</v>
      </c>
      <c r="J95" s="186">
        <v>1251</v>
      </c>
      <c r="K95" s="201">
        <f t="shared" si="43"/>
        <v>5844</v>
      </c>
      <c r="L95" s="201">
        <f t="shared" si="44"/>
        <v>4556</v>
      </c>
      <c r="M95" s="201">
        <f t="shared" si="53"/>
        <v>1014</v>
      </c>
      <c r="N95" s="201">
        <f t="shared" si="54"/>
        <v>3542</v>
      </c>
      <c r="O95" s="201">
        <f t="shared" si="45"/>
        <v>1288</v>
      </c>
      <c r="P95" s="202"/>
      <c r="Q95" s="202"/>
      <c r="R95" s="202"/>
      <c r="S95" s="71" t="s">
        <v>95</v>
      </c>
      <c r="T95" s="202" t="b">
        <f t="shared" si="36"/>
        <v>1</v>
      </c>
      <c r="U95" s="202">
        <f t="shared" si="46"/>
        <v>834</v>
      </c>
      <c r="V95" s="206">
        <f t="shared" si="47"/>
        <v>3996</v>
      </c>
      <c r="W95" s="209">
        <v>3542</v>
      </c>
      <c r="X95" s="202">
        <v>454</v>
      </c>
      <c r="Y95" s="206">
        <f t="shared" si="37"/>
        <v>16</v>
      </c>
      <c r="Z95" s="202">
        <v>11</v>
      </c>
      <c r="AA95" s="202">
        <v>5</v>
      </c>
      <c r="AB95" s="206">
        <f t="shared" si="48"/>
        <v>61</v>
      </c>
      <c r="AC95" s="202">
        <v>54</v>
      </c>
      <c r="AD95" s="202">
        <v>7</v>
      </c>
      <c r="AE95" s="206">
        <f t="shared" si="49"/>
        <v>0</v>
      </c>
      <c r="AF95" s="202">
        <v>0</v>
      </c>
      <c r="AG95" s="202">
        <v>0</v>
      </c>
      <c r="AH95" s="206">
        <f t="shared" si="50"/>
        <v>1303</v>
      </c>
      <c r="AI95" s="202">
        <v>778</v>
      </c>
      <c r="AJ95" s="202">
        <v>525</v>
      </c>
      <c r="AK95" s="206">
        <f t="shared" si="51"/>
        <v>147</v>
      </c>
      <c r="AL95" s="202">
        <v>107</v>
      </c>
      <c r="AM95" s="202">
        <v>40</v>
      </c>
      <c r="AN95" s="206">
        <f t="shared" si="52"/>
        <v>321</v>
      </c>
      <c r="AO95" s="202">
        <v>64</v>
      </c>
      <c r="AP95" s="202">
        <v>257</v>
      </c>
    </row>
    <row r="96" ht="17" customHeight="1" spans="1:42">
      <c r="A96" s="191" t="s">
        <v>96</v>
      </c>
      <c r="B96" s="186">
        <f t="shared" si="38"/>
        <v>1002</v>
      </c>
      <c r="C96" s="186">
        <f t="shared" si="39"/>
        <v>777</v>
      </c>
      <c r="D96" s="186">
        <v>18</v>
      </c>
      <c r="E96" s="186">
        <f t="shared" si="40"/>
        <v>225</v>
      </c>
      <c r="F96" s="192">
        <f t="shared" si="41"/>
        <v>516</v>
      </c>
      <c r="G96" s="186">
        <f t="shared" si="42"/>
        <v>397</v>
      </c>
      <c r="H96" s="186">
        <v>379</v>
      </c>
      <c r="I96" s="186">
        <v>18</v>
      </c>
      <c r="J96" s="186">
        <v>119</v>
      </c>
      <c r="K96" s="201">
        <f t="shared" si="43"/>
        <v>486</v>
      </c>
      <c r="L96" s="201">
        <f t="shared" si="44"/>
        <v>380</v>
      </c>
      <c r="M96" s="201">
        <f t="shared" si="53"/>
        <v>101</v>
      </c>
      <c r="N96" s="201">
        <f t="shared" si="54"/>
        <v>279</v>
      </c>
      <c r="O96" s="201">
        <f t="shared" si="45"/>
        <v>106</v>
      </c>
      <c r="P96" s="202"/>
      <c r="Q96" s="202"/>
      <c r="R96" s="202"/>
      <c r="S96" s="71" t="s">
        <v>96</v>
      </c>
      <c r="T96" s="202" t="b">
        <f t="shared" si="36"/>
        <v>1</v>
      </c>
      <c r="U96" s="202">
        <f t="shared" si="46"/>
        <v>70</v>
      </c>
      <c r="V96" s="206">
        <f t="shared" si="47"/>
        <v>315</v>
      </c>
      <c r="W96" s="209">
        <v>279</v>
      </c>
      <c r="X96" s="202">
        <v>36</v>
      </c>
      <c r="Y96" s="206">
        <f t="shared" si="37"/>
        <v>3</v>
      </c>
      <c r="Z96" s="202">
        <v>2</v>
      </c>
      <c r="AA96" s="202">
        <v>1</v>
      </c>
      <c r="AB96" s="206">
        <f t="shared" si="48"/>
        <v>7</v>
      </c>
      <c r="AC96" s="202">
        <v>6</v>
      </c>
      <c r="AD96" s="202">
        <v>1</v>
      </c>
      <c r="AE96" s="206">
        <f t="shared" si="49"/>
        <v>0</v>
      </c>
      <c r="AF96" s="202">
        <v>0</v>
      </c>
      <c r="AG96" s="202">
        <v>0</v>
      </c>
      <c r="AH96" s="206">
        <f t="shared" si="50"/>
        <v>109</v>
      </c>
      <c r="AI96" s="202">
        <v>65</v>
      </c>
      <c r="AJ96" s="202">
        <v>44</v>
      </c>
      <c r="AK96" s="206">
        <f t="shared" si="51"/>
        <v>27</v>
      </c>
      <c r="AL96" s="202">
        <v>23</v>
      </c>
      <c r="AM96" s="202">
        <v>4</v>
      </c>
      <c r="AN96" s="206">
        <f t="shared" si="52"/>
        <v>25</v>
      </c>
      <c r="AO96" s="202">
        <v>5</v>
      </c>
      <c r="AP96" s="202">
        <v>20</v>
      </c>
    </row>
    <row r="97" ht="17" customHeight="1" spans="1:42">
      <c r="A97" s="191" t="s">
        <v>97</v>
      </c>
      <c r="B97" s="186">
        <f t="shared" si="38"/>
        <v>10542.4</v>
      </c>
      <c r="C97" s="186">
        <f t="shared" si="39"/>
        <v>7317.4</v>
      </c>
      <c r="D97" s="186">
        <v>152</v>
      </c>
      <c r="E97" s="186">
        <f t="shared" si="40"/>
        <v>3225</v>
      </c>
      <c r="F97" s="192">
        <f t="shared" si="41"/>
        <v>5378</v>
      </c>
      <c r="G97" s="186">
        <f t="shared" si="42"/>
        <v>3589</v>
      </c>
      <c r="H97" s="186">
        <v>3437</v>
      </c>
      <c r="I97" s="186">
        <v>152</v>
      </c>
      <c r="J97" s="186">
        <v>1789</v>
      </c>
      <c r="K97" s="201">
        <f t="shared" si="43"/>
        <v>5164.4</v>
      </c>
      <c r="L97" s="201">
        <f t="shared" si="44"/>
        <v>3728.4</v>
      </c>
      <c r="M97" s="201">
        <f t="shared" si="53"/>
        <v>1443.4</v>
      </c>
      <c r="N97" s="201">
        <f t="shared" si="54"/>
        <v>2285</v>
      </c>
      <c r="O97" s="201">
        <f t="shared" si="45"/>
        <v>1436</v>
      </c>
      <c r="P97" s="202"/>
      <c r="Q97" s="202"/>
      <c r="R97" s="202"/>
      <c r="S97" s="71" t="s">
        <v>97</v>
      </c>
      <c r="T97" s="202" t="b">
        <f t="shared" si="36"/>
        <v>1</v>
      </c>
      <c r="U97" s="202">
        <f t="shared" si="46"/>
        <v>1143</v>
      </c>
      <c r="V97" s="206">
        <f t="shared" si="47"/>
        <v>2578</v>
      </c>
      <c r="W97" s="209">
        <v>2285</v>
      </c>
      <c r="X97" s="202">
        <v>293</v>
      </c>
      <c r="Y97" s="206">
        <f t="shared" si="37"/>
        <v>35</v>
      </c>
      <c r="Z97" s="202">
        <v>24</v>
      </c>
      <c r="AA97" s="202">
        <v>11</v>
      </c>
      <c r="AB97" s="206">
        <f t="shared" si="48"/>
        <v>170</v>
      </c>
      <c r="AC97" s="202">
        <v>150</v>
      </c>
      <c r="AD97" s="202">
        <v>20</v>
      </c>
      <c r="AE97" s="206">
        <f t="shared" si="49"/>
        <v>5.4</v>
      </c>
      <c r="AF97" s="202">
        <v>3.4</v>
      </c>
      <c r="AG97" s="202">
        <v>2</v>
      </c>
      <c r="AH97" s="206">
        <f t="shared" si="50"/>
        <v>923</v>
      </c>
      <c r="AI97" s="202">
        <v>551</v>
      </c>
      <c r="AJ97" s="202">
        <v>372</v>
      </c>
      <c r="AK97" s="206">
        <f t="shared" si="51"/>
        <v>530</v>
      </c>
      <c r="AL97" s="202">
        <v>530</v>
      </c>
      <c r="AM97" s="202">
        <v>0</v>
      </c>
      <c r="AN97" s="206">
        <f t="shared" si="52"/>
        <v>923</v>
      </c>
      <c r="AO97" s="202">
        <v>185</v>
      </c>
      <c r="AP97" s="202">
        <v>738</v>
      </c>
    </row>
    <row r="98" ht="17" customHeight="1" spans="1:42">
      <c r="A98" s="191" t="s">
        <v>98</v>
      </c>
      <c r="B98" s="186">
        <f t="shared" si="38"/>
        <v>4683.9</v>
      </c>
      <c r="C98" s="186">
        <f t="shared" si="39"/>
        <v>3688.7</v>
      </c>
      <c r="D98" s="186">
        <v>118</v>
      </c>
      <c r="E98" s="186">
        <f t="shared" si="40"/>
        <v>995.2</v>
      </c>
      <c r="F98" s="192">
        <f t="shared" si="41"/>
        <v>2355.2</v>
      </c>
      <c r="G98" s="186">
        <f t="shared" si="42"/>
        <v>1862</v>
      </c>
      <c r="H98" s="186">
        <v>1744</v>
      </c>
      <c r="I98" s="186">
        <v>118</v>
      </c>
      <c r="J98" s="186">
        <v>493.2</v>
      </c>
      <c r="K98" s="201">
        <f t="shared" si="43"/>
        <v>2328.7</v>
      </c>
      <c r="L98" s="201">
        <f t="shared" si="44"/>
        <v>1826.7</v>
      </c>
      <c r="M98" s="201">
        <f t="shared" si="53"/>
        <v>531.7</v>
      </c>
      <c r="N98" s="201">
        <f t="shared" si="54"/>
        <v>1295</v>
      </c>
      <c r="O98" s="201">
        <f t="shared" si="45"/>
        <v>502</v>
      </c>
      <c r="P98" s="202"/>
      <c r="Q98" s="202"/>
      <c r="R98" s="202"/>
      <c r="S98" s="71" t="s">
        <v>98</v>
      </c>
      <c r="T98" s="202" t="b">
        <f t="shared" si="36"/>
        <v>1</v>
      </c>
      <c r="U98" s="202">
        <f t="shared" si="46"/>
        <v>336</v>
      </c>
      <c r="V98" s="206">
        <f t="shared" si="47"/>
        <v>1461</v>
      </c>
      <c r="W98" s="209">
        <v>1295</v>
      </c>
      <c r="X98" s="202">
        <v>166</v>
      </c>
      <c r="Y98" s="206">
        <f t="shared" si="37"/>
        <v>9</v>
      </c>
      <c r="Z98" s="202">
        <v>6</v>
      </c>
      <c r="AA98" s="202">
        <v>3</v>
      </c>
      <c r="AB98" s="206">
        <f t="shared" si="48"/>
        <v>58</v>
      </c>
      <c r="AC98" s="202">
        <v>51</v>
      </c>
      <c r="AD98" s="202">
        <v>7</v>
      </c>
      <c r="AE98" s="206">
        <f t="shared" si="49"/>
        <v>3.7</v>
      </c>
      <c r="AF98" s="202">
        <v>2.7</v>
      </c>
      <c r="AG98" s="202">
        <v>1</v>
      </c>
      <c r="AH98" s="206">
        <f t="shared" si="50"/>
        <v>526</v>
      </c>
      <c r="AI98" s="202">
        <v>314</v>
      </c>
      <c r="AJ98" s="202">
        <v>212</v>
      </c>
      <c r="AK98" s="206">
        <f t="shared" si="51"/>
        <v>130</v>
      </c>
      <c r="AL98" s="202">
        <v>130</v>
      </c>
      <c r="AM98" s="202">
        <v>0</v>
      </c>
      <c r="AN98" s="206">
        <f t="shared" si="52"/>
        <v>141</v>
      </c>
      <c r="AO98" s="202">
        <v>28</v>
      </c>
      <c r="AP98" s="202">
        <v>113</v>
      </c>
    </row>
    <row r="99" ht="17" customHeight="1" spans="1:42">
      <c r="A99" s="191" t="s">
        <v>99</v>
      </c>
      <c r="B99" s="186">
        <f t="shared" si="38"/>
        <v>1555</v>
      </c>
      <c r="C99" s="186">
        <f t="shared" si="39"/>
        <v>1221</v>
      </c>
      <c r="D99" s="186">
        <v>29</v>
      </c>
      <c r="E99" s="186">
        <f t="shared" si="40"/>
        <v>334</v>
      </c>
      <c r="F99" s="192">
        <f t="shared" si="41"/>
        <v>806</v>
      </c>
      <c r="G99" s="186">
        <f t="shared" si="42"/>
        <v>627</v>
      </c>
      <c r="H99" s="186">
        <v>598</v>
      </c>
      <c r="I99" s="186">
        <v>29</v>
      </c>
      <c r="J99" s="186">
        <v>179</v>
      </c>
      <c r="K99" s="201">
        <f t="shared" si="43"/>
        <v>749</v>
      </c>
      <c r="L99" s="201">
        <f t="shared" si="44"/>
        <v>594</v>
      </c>
      <c r="M99" s="201">
        <f t="shared" si="53"/>
        <v>176</v>
      </c>
      <c r="N99" s="201">
        <f t="shared" si="54"/>
        <v>418</v>
      </c>
      <c r="O99" s="201">
        <f t="shared" si="45"/>
        <v>155</v>
      </c>
      <c r="P99" s="202"/>
      <c r="Q99" s="202"/>
      <c r="R99" s="202"/>
      <c r="S99" s="71" t="s">
        <v>99</v>
      </c>
      <c r="T99" s="202" t="b">
        <f t="shared" si="36"/>
        <v>1</v>
      </c>
      <c r="U99" s="202">
        <f t="shared" si="46"/>
        <v>101</v>
      </c>
      <c r="V99" s="206">
        <f t="shared" si="47"/>
        <v>472</v>
      </c>
      <c r="W99" s="209">
        <v>418</v>
      </c>
      <c r="X99" s="202">
        <v>54</v>
      </c>
      <c r="Y99" s="206">
        <f t="shared" si="37"/>
        <v>9</v>
      </c>
      <c r="Z99" s="202">
        <v>7</v>
      </c>
      <c r="AA99" s="202">
        <v>2</v>
      </c>
      <c r="AB99" s="206">
        <f t="shared" si="48"/>
        <v>15</v>
      </c>
      <c r="AC99" s="202">
        <v>13</v>
      </c>
      <c r="AD99" s="202">
        <v>2</v>
      </c>
      <c r="AE99" s="206">
        <f t="shared" si="49"/>
        <v>0</v>
      </c>
      <c r="AF99" s="202">
        <v>0</v>
      </c>
      <c r="AG99" s="202">
        <v>0</v>
      </c>
      <c r="AH99" s="206">
        <f t="shared" si="50"/>
        <v>155</v>
      </c>
      <c r="AI99" s="202">
        <v>93</v>
      </c>
      <c r="AJ99" s="202">
        <v>62</v>
      </c>
      <c r="AK99" s="206">
        <f t="shared" si="51"/>
        <v>73</v>
      </c>
      <c r="AL99" s="202">
        <v>58</v>
      </c>
      <c r="AM99" s="202">
        <v>15</v>
      </c>
      <c r="AN99" s="206">
        <f t="shared" si="52"/>
        <v>25</v>
      </c>
      <c r="AO99" s="202">
        <v>5</v>
      </c>
      <c r="AP99" s="202">
        <v>20</v>
      </c>
    </row>
    <row r="100" ht="17" customHeight="1" spans="1:42">
      <c r="A100" s="191" t="s">
        <v>100</v>
      </c>
      <c r="B100" s="186">
        <f t="shared" si="38"/>
        <v>2374</v>
      </c>
      <c r="C100" s="186">
        <f t="shared" si="39"/>
        <v>1777</v>
      </c>
      <c r="D100" s="186">
        <v>39</v>
      </c>
      <c r="E100" s="186">
        <f t="shared" si="40"/>
        <v>597</v>
      </c>
      <c r="F100" s="192">
        <f t="shared" si="41"/>
        <v>1202</v>
      </c>
      <c r="G100" s="186">
        <f t="shared" si="42"/>
        <v>870</v>
      </c>
      <c r="H100" s="186">
        <v>831</v>
      </c>
      <c r="I100" s="186">
        <v>39</v>
      </c>
      <c r="J100" s="186">
        <v>332</v>
      </c>
      <c r="K100" s="201">
        <f t="shared" si="43"/>
        <v>1172</v>
      </c>
      <c r="L100" s="201">
        <f t="shared" si="44"/>
        <v>907</v>
      </c>
      <c r="M100" s="201">
        <f t="shared" si="53"/>
        <v>391</v>
      </c>
      <c r="N100" s="201">
        <f t="shared" si="54"/>
        <v>516</v>
      </c>
      <c r="O100" s="201">
        <f t="shared" si="45"/>
        <v>265</v>
      </c>
      <c r="P100" s="202"/>
      <c r="Q100" s="202"/>
      <c r="R100" s="202"/>
      <c r="S100" s="71" t="s">
        <v>100</v>
      </c>
      <c r="T100" s="202" t="b">
        <f t="shared" si="36"/>
        <v>1</v>
      </c>
      <c r="U100" s="202">
        <f t="shared" si="46"/>
        <v>198</v>
      </c>
      <c r="V100" s="206">
        <f t="shared" si="47"/>
        <v>583</v>
      </c>
      <c r="W100" s="209">
        <v>516</v>
      </c>
      <c r="X100" s="202">
        <v>67</v>
      </c>
      <c r="Y100" s="206">
        <f t="shared" si="37"/>
        <v>28</v>
      </c>
      <c r="Z100" s="202">
        <v>23</v>
      </c>
      <c r="AA100" s="202">
        <v>5</v>
      </c>
      <c r="AB100" s="206">
        <f t="shared" si="48"/>
        <v>26</v>
      </c>
      <c r="AC100" s="202">
        <v>23</v>
      </c>
      <c r="AD100" s="202">
        <v>3</v>
      </c>
      <c r="AE100" s="206">
        <f t="shared" si="49"/>
        <v>0</v>
      </c>
      <c r="AF100" s="202">
        <v>0</v>
      </c>
      <c r="AG100" s="202">
        <v>0</v>
      </c>
      <c r="AH100" s="206">
        <f t="shared" si="50"/>
        <v>179</v>
      </c>
      <c r="AI100" s="202">
        <v>107</v>
      </c>
      <c r="AJ100" s="202">
        <v>72</v>
      </c>
      <c r="AK100" s="206">
        <f t="shared" si="51"/>
        <v>224</v>
      </c>
      <c r="AL100" s="202">
        <v>212</v>
      </c>
      <c r="AM100" s="202">
        <v>12</v>
      </c>
      <c r="AN100" s="206">
        <f t="shared" si="52"/>
        <v>132</v>
      </c>
      <c r="AO100" s="202">
        <v>26</v>
      </c>
      <c r="AP100" s="202">
        <v>106</v>
      </c>
    </row>
    <row r="101" ht="17" customHeight="1" spans="1:42">
      <c r="A101" s="191" t="s">
        <v>101</v>
      </c>
      <c r="B101" s="186">
        <f t="shared" si="38"/>
        <v>3973</v>
      </c>
      <c r="C101" s="186">
        <f t="shared" si="39"/>
        <v>2831</v>
      </c>
      <c r="D101" s="186">
        <v>63</v>
      </c>
      <c r="E101" s="186">
        <f t="shared" si="40"/>
        <v>1142</v>
      </c>
      <c r="F101" s="192">
        <f t="shared" si="41"/>
        <v>2031</v>
      </c>
      <c r="G101" s="186">
        <f t="shared" si="42"/>
        <v>1393</v>
      </c>
      <c r="H101" s="186">
        <v>1330</v>
      </c>
      <c r="I101" s="186">
        <v>63</v>
      </c>
      <c r="J101" s="186">
        <v>638</v>
      </c>
      <c r="K101" s="201">
        <f t="shared" si="43"/>
        <v>1942</v>
      </c>
      <c r="L101" s="201">
        <f t="shared" si="44"/>
        <v>1438</v>
      </c>
      <c r="M101" s="201">
        <f t="shared" si="53"/>
        <v>586</v>
      </c>
      <c r="N101" s="201">
        <f t="shared" si="54"/>
        <v>852</v>
      </c>
      <c r="O101" s="201">
        <f t="shared" si="45"/>
        <v>504</v>
      </c>
      <c r="P101" s="202"/>
      <c r="Q101" s="202"/>
      <c r="R101" s="202"/>
      <c r="S101" s="71" t="s">
        <v>101</v>
      </c>
      <c r="T101" s="202" t="b">
        <f t="shared" si="36"/>
        <v>1</v>
      </c>
      <c r="U101" s="202">
        <f t="shared" si="46"/>
        <v>395</v>
      </c>
      <c r="V101" s="206">
        <f t="shared" si="47"/>
        <v>961</v>
      </c>
      <c r="W101" s="209">
        <v>852</v>
      </c>
      <c r="X101" s="202">
        <v>109</v>
      </c>
      <c r="Y101" s="206">
        <f t="shared" si="37"/>
        <v>53</v>
      </c>
      <c r="Z101" s="202">
        <v>44</v>
      </c>
      <c r="AA101" s="202">
        <v>9</v>
      </c>
      <c r="AB101" s="206">
        <f t="shared" si="48"/>
        <v>41</v>
      </c>
      <c r="AC101" s="202">
        <v>36</v>
      </c>
      <c r="AD101" s="202">
        <v>5</v>
      </c>
      <c r="AE101" s="206">
        <f t="shared" si="49"/>
        <v>0</v>
      </c>
      <c r="AF101" s="202">
        <v>0</v>
      </c>
      <c r="AG101" s="202">
        <v>0</v>
      </c>
      <c r="AH101" s="206">
        <f t="shared" si="50"/>
        <v>322</v>
      </c>
      <c r="AI101" s="202">
        <v>192</v>
      </c>
      <c r="AJ101" s="202">
        <v>130</v>
      </c>
      <c r="AK101" s="206">
        <f t="shared" si="51"/>
        <v>275</v>
      </c>
      <c r="AL101" s="202">
        <v>256</v>
      </c>
      <c r="AM101" s="202">
        <v>19</v>
      </c>
      <c r="AN101" s="206">
        <f t="shared" si="52"/>
        <v>290</v>
      </c>
      <c r="AO101" s="202">
        <v>58</v>
      </c>
      <c r="AP101" s="202">
        <v>232</v>
      </c>
    </row>
    <row r="102" ht="17" customHeight="1" spans="1:42">
      <c r="A102" s="191" t="s">
        <v>102</v>
      </c>
      <c r="B102" s="186">
        <f t="shared" si="38"/>
        <v>3455</v>
      </c>
      <c r="C102" s="186">
        <f t="shared" si="39"/>
        <v>2305</v>
      </c>
      <c r="D102" s="186">
        <v>65</v>
      </c>
      <c r="E102" s="186">
        <f t="shared" si="40"/>
        <v>1150</v>
      </c>
      <c r="F102" s="192">
        <f t="shared" si="41"/>
        <v>1833</v>
      </c>
      <c r="G102" s="186">
        <f t="shared" si="42"/>
        <v>1179</v>
      </c>
      <c r="H102" s="186">
        <v>1114</v>
      </c>
      <c r="I102" s="186">
        <v>65</v>
      </c>
      <c r="J102" s="186">
        <v>654</v>
      </c>
      <c r="K102" s="201">
        <f t="shared" si="43"/>
        <v>1622</v>
      </c>
      <c r="L102" s="201">
        <f t="shared" si="44"/>
        <v>1126</v>
      </c>
      <c r="M102" s="201">
        <f t="shared" si="53"/>
        <v>420</v>
      </c>
      <c r="N102" s="201">
        <f t="shared" si="54"/>
        <v>706</v>
      </c>
      <c r="O102" s="201">
        <f t="shared" si="45"/>
        <v>496</v>
      </c>
      <c r="P102" s="202"/>
      <c r="Q102" s="202"/>
      <c r="R102" s="202"/>
      <c r="S102" s="76" t="s">
        <v>102</v>
      </c>
      <c r="T102" s="202" t="b">
        <f t="shared" si="36"/>
        <v>1</v>
      </c>
      <c r="U102" s="202">
        <f t="shared" si="46"/>
        <v>406</v>
      </c>
      <c r="V102" s="206">
        <f t="shared" si="47"/>
        <v>796</v>
      </c>
      <c r="W102" s="209">
        <v>706</v>
      </c>
      <c r="X102" s="202">
        <v>90</v>
      </c>
      <c r="Y102" s="206">
        <f t="shared" si="37"/>
        <v>42</v>
      </c>
      <c r="Z102" s="202">
        <v>34</v>
      </c>
      <c r="AA102" s="202">
        <v>8</v>
      </c>
      <c r="AB102" s="206">
        <f t="shared" si="48"/>
        <v>48</v>
      </c>
      <c r="AC102" s="202">
        <v>43</v>
      </c>
      <c r="AD102" s="202">
        <v>5</v>
      </c>
      <c r="AE102" s="206">
        <f t="shared" si="49"/>
        <v>0</v>
      </c>
      <c r="AF102" s="202">
        <v>0</v>
      </c>
      <c r="AG102" s="202">
        <v>0</v>
      </c>
      <c r="AH102" s="206">
        <f t="shared" si="50"/>
        <v>271</v>
      </c>
      <c r="AI102" s="202">
        <v>162</v>
      </c>
      <c r="AJ102" s="202">
        <v>109</v>
      </c>
      <c r="AK102" s="206">
        <f t="shared" si="51"/>
        <v>110</v>
      </c>
      <c r="AL102" s="202">
        <v>110</v>
      </c>
      <c r="AM102" s="202">
        <v>0</v>
      </c>
      <c r="AN102" s="206">
        <f t="shared" si="52"/>
        <v>355</v>
      </c>
      <c r="AO102" s="202">
        <v>71</v>
      </c>
      <c r="AP102" s="202">
        <v>284</v>
      </c>
    </row>
    <row r="103" ht="17" customHeight="1" spans="1:42">
      <c r="A103" s="193" t="s">
        <v>103</v>
      </c>
      <c r="B103" s="189">
        <f t="shared" si="38"/>
        <v>1170</v>
      </c>
      <c r="C103" s="189">
        <f t="shared" si="39"/>
        <v>936</v>
      </c>
      <c r="D103" s="189">
        <v>25</v>
      </c>
      <c r="E103" s="189">
        <f t="shared" si="40"/>
        <v>234</v>
      </c>
      <c r="F103" s="192">
        <f t="shared" si="41"/>
        <v>596</v>
      </c>
      <c r="G103" s="186">
        <f t="shared" si="42"/>
        <v>479</v>
      </c>
      <c r="H103" s="189">
        <v>454</v>
      </c>
      <c r="I103" s="189">
        <v>25</v>
      </c>
      <c r="J103" s="189">
        <v>117</v>
      </c>
      <c r="K103" s="199">
        <f t="shared" si="43"/>
        <v>574</v>
      </c>
      <c r="L103" s="199">
        <f t="shared" si="44"/>
        <v>457</v>
      </c>
      <c r="M103" s="201">
        <f t="shared" si="53"/>
        <v>251</v>
      </c>
      <c r="N103" s="201">
        <f t="shared" si="54"/>
        <v>206</v>
      </c>
      <c r="O103" s="199">
        <f t="shared" si="45"/>
        <v>117</v>
      </c>
      <c r="P103" s="200"/>
      <c r="Q103" s="200"/>
      <c r="R103" s="200"/>
      <c r="S103" s="71" t="s">
        <v>103</v>
      </c>
      <c r="T103" s="202" t="b">
        <f t="shared" si="36"/>
        <v>1</v>
      </c>
      <c r="U103" s="202">
        <f t="shared" si="46"/>
        <v>46</v>
      </c>
      <c r="V103" s="206">
        <f t="shared" si="47"/>
        <v>277</v>
      </c>
      <c r="W103" s="210">
        <v>206</v>
      </c>
      <c r="X103" s="202">
        <v>71</v>
      </c>
      <c r="Y103" s="206">
        <f t="shared" si="37"/>
        <v>2</v>
      </c>
      <c r="Z103" s="202">
        <v>1</v>
      </c>
      <c r="AA103" s="202">
        <v>1</v>
      </c>
      <c r="AB103" s="206">
        <f t="shared" si="48"/>
        <v>11</v>
      </c>
      <c r="AC103" s="202">
        <v>8</v>
      </c>
      <c r="AD103" s="202">
        <v>3</v>
      </c>
      <c r="AE103" s="206">
        <f t="shared" si="49"/>
        <v>0</v>
      </c>
      <c r="AF103" s="202">
        <v>0</v>
      </c>
      <c r="AG103" s="202">
        <v>0</v>
      </c>
      <c r="AH103" s="206">
        <f t="shared" si="50"/>
        <v>106</v>
      </c>
      <c r="AI103" s="202">
        <v>64</v>
      </c>
      <c r="AJ103" s="202">
        <v>42</v>
      </c>
      <c r="AK103" s="206">
        <f t="shared" si="51"/>
        <v>178</v>
      </c>
      <c r="AL103" s="202">
        <v>178</v>
      </c>
      <c r="AM103" s="202">
        <v>0</v>
      </c>
      <c r="AN103" s="206">
        <f t="shared" si="52"/>
        <v>0</v>
      </c>
      <c r="AO103" s="202"/>
      <c r="AP103" s="202"/>
    </row>
    <row r="104" ht="17" customHeight="1" spans="1:42">
      <c r="A104" s="191" t="s">
        <v>104</v>
      </c>
      <c r="B104" s="186">
        <f t="shared" si="38"/>
        <v>76</v>
      </c>
      <c r="C104" s="186">
        <f t="shared" si="39"/>
        <v>44</v>
      </c>
      <c r="D104" s="186">
        <v>2</v>
      </c>
      <c r="E104" s="186">
        <f t="shared" si="40"/>
        <v>32</v>
      </c>
      <c r="F104" s="192">
        <f t="shared" si="41"/>
        <v>61</v>
      </c>
      <c r="G104" s="186">
        <f t="shared" si="42"/>
        <v>44</v>
      </c>
      <c r="H104" s="186">
        <v>42</v>
      </c>
      <c r="I104" s="186">
        <v>2</v>
      </c>
      <c r="J104" s="186">
        <v>17</v>
      </c>
      <c r="K104" s="201"/>
      <c r="L104" s="201"/>
      <c r="M104" s="201"/>
      <c r="N104" s="201">
        <f t="shared" si="54"/>
        <v>26</v>
      </c>
      <c r="O104" s="201">
        <f t="shared" si="45"/>
        <v>15</v>
      </c>
      <c r="P104" s="202"/>
      <c r="Q104" s="202"/>
      <c r="R104" s="202"/>
      <c r="S104" s="71" t="s">
        <v>104</v>
      </c>
      <c r="T104" s="202" t="b">
        <f t="shared" si="36"/>
        <v>1</v>
      </c>
      <c r="U104" s="202">
        <f t="shared" si="46"/>
        <v>6</v>
      </c>
      <c r="V104" s="206">
        <f t="shared" si="47"/>
        <v>35</v>
      </c>
      <c r="W104" s="209">
        <v>26</v>
      </c>
      <c r="X104" s="202">
        <v>9</v>
      </c>
      <c r="Y104" s="206">
        <f t="shared" si="37"/>
        <v>0</v>
      </c>
      <c r="Z104" s="202">
        <v>0</v>
      </c>
      <c r="AA104" s="202">
        <v>0</v>
      </c>
      <c r="AB104" s="206">
        <f t="shared" si="48"/>
        <v>4</v>
      </c>
      <c r="AC104" s="202">
        <v>3</v>
      </c>
      <c r="AD104" s="202">
        <v>1</v>
      </c>
      <c r="AE104" s="206">
        <f t="shared" si="49"/>
        <v>0</v>
      </c>
      <c r="AF104" s="202">
        <v>0</v>
      </c>
      <c r="AG104" s="202">
        <v>0</v>
      </c>
      <c r="AH104" s="206">
        <f t="shared" si="50"/>
        <v>14</v>
      </c>
      <c r="AI104" s="202">
        <v>9</v>
      </c>
      <c r="AJ104" s="202">
        <v>5</v>
      </c>
      <c r="AK104" s="206">
        <f t="shared" si="51"/>
        <v>0</v>
      </c>
      <c r="AL104" s="202">
        <v>0</v>
      </c>
      <c r="AM104" s="202">
        <v>0</v>
      </c>
      <c r="AN104" s="206">
        <f t="shared" si="52"/>
        <v>0</v>
      </c>
      <c r="AO104" s="202"/>
      <c r="AP104" s="202"/>
    </row>
    <row r="105" ht="17" customHeight="1" spans="1:42">
      <c r="A105" s="191" t="s">
        <v>105</v>
      </c>
      <c r="B105" s="186">
        <f t="shared" si="38"/>
        <v>14</v>
      </c>
      <c r="C105" s="186">
        <f t="shared" si="39"/>
        <v>8</v>
      </c>
      <c r="D105" s="186">
        <v>0</v>
      </c>
      <c r="E105" s="186">
        <f t="shared" si="40"/>
        <v>6</v>
      </c>
      <c r="F105" s="192">
        <f t="shared" si="41"/>
        <v>11</v>
      </c>
      <c r="G105" s="186">
        <f t="shared" si="42"/>
        <v>8</v>
      </c>
      <c r="H105" s="186">
        <v>8</v>
      </c>
      <c r="I105" s="186">
        <v>0</v>
      </c>
      <c r="J105" s="186">
        <v>3</v>
      </c>
      <c r="K105" s="201"/>
      <c r="L105" s="201"/>
      <c r="M105" s="201"/>
      <c r="N105" s="201">
        <f t="shared" si="54"/>
        <v>5</v>
      </c>
      <c r="O105" s="201">
        <f t="shared" si="45"/>
        <v>3</v>
      </c>
      <c r="P105" s="202"/>
      <c r="Q105" s="202"/>
      <c r="R105" s="202"/>
      <c r="S105" s="71" t="s">
        <v>105</v>
      </c>
      <c r="T105" s="202" t="b">
        <f t="shared" si="36"/>
        <v>1</v>
      </c>
      <c r="U105" s="202">
        <f t="shared" si="46"/>
        <v>1</v>
      </c>
      <c r="V105" s="206">
        <f t="shared" si="47"/>
        <v>7</v>
      </c>
      <c r="W105" s="209">
        <v>5</v>
      </c>
      <c r="X105" s="202">
        <v>2</v>
      </c>
      <c r="Y105" s="206">
        <f t="shared" si="37"/>
        <v>0</v>
      </c>
      <c r="Z105" s="202">
        <v>0</v>
      </c>
      <c r="AA105" s="202">
        <v>0</v>
      </c>
      <c r="AB105" s="206">
        <f t="shared" si="48"/>
        <v>0</v>
      </c>
      <c r="AC105" s="202">
        <v>0</v>
      </c>
      <c r="AD105" s="202">
        <v>0</v>
      </c>
      <c r="AE105" s="206">
        <f t="shared" si="49"/>
        <v>0</v>
      </c>
      <c r="AF105" s="202">
        <v>0</v>
      </c>
      <c r="AG105" s="202">
        <v>0</v>
      </c>
      <c r="AH105" s="206">
        <f t="shared" si="50"/>
        <v>2</v>
      </c>
      <c r="AI105" s="202">
        <v>1</v>
      </c>
      <c r="AJ105" s="202">
        <v>1</v>
      </c>
      <c r="AK105" s="206">
        <f t="shared" si="51"/>
        <v>0</v>
      </c>
      <c r="AL105" s="202">
        <v>0</v>
      </c>
      <c r="AM105" s="202">
        <v>0</v>
      </c>
      <c r="AN105" s="206">
        <f t="shared" si="52"/>
        <v>0</v>
      </c>
      <c r="AO105" s="202"/>
      <c r="AP105" s="202"/>
    </row>
    <row r="106" ht="17" customHeight="1" spans="1:42">
      <c r="A106" s="191" t="s">
        <v>106</v>
      </c>
      <c r="B106" s="186">
        <f t="shared" si="38"/>
        <v>426</v>
      </c>
      <c r="C106" s="186">
        <f t="shared" si="39"/>
        <v>237</v>
      </c>
      <c r="D106" s="186">
        <v>17</v>
      </c>
      <c r="E106" s="186">
        <f t="shared" si="40"/>
        <v>189</v>
      </c>
      <c r="F106" s="192">
        <f t="shared" si="41"/>
        <v>327</v>
      </c>
      <c r="G106" s="186">
        <f t="shared" si="42"/>
        <v>237</v>
      </c>
      <c r="H106" s="186">
        <v>220</v>
      </c>
      <c r="I106" s="186">
        <v>17</v>
      </c>
      <c r="J106" s="186">
        <v>90</v>
      </c>
      <c r="K106" s="201"/>
      <c r="L106" s="201"/>
      <c r="M106" s="201"/>
      <c r="N106" s="201">
        <f t="shared" si="54"/>
        <v>175</v>
      </c>
      <c r="O106" s="201">
        <f t="shared" si="45"/>
        <v>99</v>
      </c>
      <c r="P106" s="202"/>
      <c r="Q106" s="202"/>
      <c r="R106" s="202"/>
      <c r="S106" s="108" t="s">
        <v>106</v>
      </c>
      <c r="T106" s="202" t="b">
        <f t="shared" si="36"/>
        <v>1</v>
      </c>
      <c r="U106" s="202">
        <f t="shared" si="46"/>
        <v>39</v>
      </c>
      <c r="V106" s="206">
        <f t="shared" si="47"/>
        <v>235</v>
      </c>
      <c r="W106" s="209">
        <v>175</v>
      </c>
      <c r="X106" s="202">
        <v>60</v>
      </c>
      <c r="Y106" s="206">
        <f t="shared" si="37"/>
        <v>2</v>
      </c>
      <c r="Z106" s="202">
        <v>1</v>
      </c>
      <c r="AA106" s="202">
        <v>1</v>
      </c>
      <c r="AB106" s="206">
        <f t="shared" si="48"/>
        <v>7</v>
      </c>
      <c r="AC106" s="202">
        <v>5</v>
      </c>
      <c r="AD106" s="202">
        <v>2</v>
      </c>
      <c r="AE106" s="206">
        <f t="shared" si="49"/>
        <v>0</v>
      </c>
      <c r="AF106" s="202">
        <v>0</v>
      </c>
      <c r="AG106" s="202">
        <v>0</v>
      </c>
      <c r="AH106" s="206">
        <f t="shared" si="50"/>
        <v>90</v>
      </c>
      <c r="AI106" s="202">
        <v>54</v>
      </c>
      <c r="AJ106" s="202">
        <v>36</v>
      </c>
      <c r="AK106" s="206">
        <f t="shared" si="51"/>
        <v>0</v>
      </c>
      <c r="AL106" s="202">
        <v>0</v>
      </c>
      <c r="AM106" s="202">
        <v>0</v>
      </c>
      <c r="AN106" s="206">
        <f t="shared" si="52"/>
        <v>0</v>
      </c>
      <c r="AO106" s="202"/>
      <c r="AP106" s="202"/>
    </row>
  </sheetData>
  <mergeCells count="5">
    <mergeCell ref="A2:AP2"/>
    <mergeCell ref="B4:E4"/>
    <mergeCell ref="F4:J4"/>
    <mergeCell ref="K4:O4"/>
    <mergeCell ref="A4:A5"/>
  </mergeCells>
  <printOptions horizontalCentered="1" verticalCentered="1"/>
  <pageMargins left="0.235416666666667" right="0.275" top="0.354166666666667" bottom="0.393055555555556" header="0.707638888888889" footer="0.235416666666667"/>
  <pageSetup paperSize="9" scale="74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  <pageSetUpPr autoPageBreaks="0"/>
  </sheetPr>
  <dimension ref="A1:Z151"/>
  <sheetViews>
    <sheetView showZeros="0" workbookViewId="0">
      <pane xSplit="4" ySplit="6" topLeftCell="F7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3.5" customHeight="1"/>
  <cols>
    <col min="1" max="4" width="14.625" style="45" customWidth="1"/>
    <col min="5" max="7" width="12.875" style="45" customWidth="1"/>
    <col min="8" max="10" width="9.75" style="45" customWidth="1"/>
    <col min="11" max="16" width="7.125" style="45" customWidth="1"/>
    <col min="17" max="17" width="9.25" style="131" customWidth="1"/>
    <col min="18" max="18" width="8.375" style="49" customWidth="1"/>
    <col min="19" max="19" width="9" style="49" customWidth="1"/>
    <col min="20" max="20" width="8.375" style="45" customWidth="1"/>
    <col min="21" max="22" width="9" style="49" customWidth="1"/>
    <col min="23" max="23" width="7.875" style="49" customWidth="1"/>
    <col min="24" max="24" width="11.625" style="51" customWidth="1"/>
    <col min="25" max="25" width="9" style="51"/>
    <col min="26" max="26" width="12.625" style="51"/>
    <col min="27" max="16384" width="9" style="51"/>
  </cols>
  <sheetData>
    <row r="1" ht="24" customHeight="1" spans="1:1">
      <c r="A1" s="45" t="s">
        <v>123</v>
      </c>
    </row>
    <row r="2" ht="32.25" customHeight="1" spans="1:23">
      <c r="A2" s="52" t="s">
        <v>124</v>
      </c>
      <c r="B2" s="52"/>
      <c r="C2" s="52"/>
      <c r="D2" s="52"/>
      <c r="E2" s="52"/>
      <c r="F2" s="52"/>
      <c r="G2" s="52"/>
      <c r="H2" s="52"/>
      <c r="I2" s="52"/>
      <c r="J2" s="52"/>
      <c r="K2" s="53"/>
      <c r="L2" s="53"/>
      <c r="M2" s="53"/>
      <c r="N2" s="53"/>
      <c r="O2" s="53"/>
      <c r="P2" s="53"/>
      <c r="Q2" s="53"/>
      <c r="R2" s="89">
        <f>M17-G17</f>
        <v>426</v>
      </c>
      <c r="S2" s="89"/>
      <c r="T2" s="89">
        <f>M6-G6</f>
        <v>438</v>
      </c>
      <c r="U2" s="89"/>
      <c r="V2" s="89"/>
      <c r="W2" s="89"/>
    </row>
    <row r="3" ht="14" customHeight="1" spans="1:23">
      <c r="A3" s="132"/>
      <c r="B3" s="132"/>
      <c r="C3" s="132"/>
      <c r="D3" s="132"/>
      <c r="E3" s="132"/>
      <c r="F3" s="132"/>
      <c r="G3" s="133" t="s">
        <v>2</v>
      </c>
      <c r="H3" s="134"/>
      <c r="I3" s="134"/>
      <c r="J3" s="134"/>
      <c r="K3" s="143"/>
      <c r="L3" s="143"/>
      <c r="M3" s="143"/>
      <c r="N3" s="143"/>
      <c r="O3" s="143"/>
      <c r="P3" s="143"/>
      <c r="Q3" s="143" t="s">
        <v>2</v>
      </c>
      <c r="R3" s="89"/>
      <c r="S3" s="89"/>
      <c r="T3" s="89"/>
      <c r="U3" s="89"/>
      <c r="V3" s="89"/>
      <c r="W3" s="89"/>
    </row>
    <row r="4" ht="38.25" customHeight="1" spans="1:23">
      <c r="A4" s="56" t="s">
        <v>125</v>
      </c>
      <c r="B4" s="135" t="s">
        <v>126</v>
      </c>
      <c r="C4" s="136"/>
      <c r="D4" s="137"/>
      <c r="E4" s="13" t="s">
        <v>127</v>
      </c>
      <c r="F4" s="13"/>
      <c r="G4" s="13"/>
      <c r="H4" s="9" t="s">
        <v>128</v>
      </c>
      <c r="I4" s="10"/>
      <c r="J4" s="29"/>
      <c r="K4" s="13" t="s">
        <v>129</v>
      </c>
      <c r="L4" s="13"/>
      <c r="M4" s="13"/>
      <c r="N4" s="9" t="s">
        <v>130</v>
      </c>
      <c r="O4" s="10"/>
      <c r="P4" s="29"/>
      <c r="Q4" s="13" t="s">
        <v>131</v>
      </c>
      <c r="R4" s="113" t="s">
        <v>132</v>
      </c>
      <c r="S4" s="113"/>
      <c r="T4" s="113"/>
      <c r="U4" s="113" t="s">
        <v>133</v>
      </c>
      <c r="V4" s="113"/>
      <c r="W4" s="113"/>
    </row>
    <row r="5" ht="38" customHeight="1" spans="1:23">
      <c r="A5" s="56"/>
      <c r="B5" s="56" t="s">
        <v>13</v>
      </c>
      <c r="C5" s="56" t="s">
        <v>117</v>
      </c>
      <c r="D5" s="56" t="s">
        <v>119</v>
      </c>
      <c r="E5" s="13" t="s">
        <v>13</v>
      </c>
      <c r="F5" s="13" t="s">
        <v>117</v>
      </c>
      <c r="G5" s="13" t="s">
        <v>119</v>
      </c>
      <c r="H5" s="13" t="s">
        <v>13</v>
      </c>
      <c r="I5" s="13" t="s">
        <v>117</v>
      </c>
      <c r="J5" s="13" t="s">
        <v>119</v>
      </c>
      <c r="K5" s="13" t="s">
        <v>13</v>
      </c>
      <c r="L5" s="13" t="s">
        <v>117</v>
      </c>
      <c r="M5" s="13" t="s">
        <v>119</v>
      </c>
      <c r="N5" s="13"/>
      <c r="O5" s="13"/>
      <c r="P5" s="13"/>
      <c r="Q5" s="13"/>
      <c r="R5" s="116" t="s">
        <v>13</v>
      </c>
      <c r="S5" s="115" t="s">
        <v>134</v>
      </c>
      <c r="T5" s="115" t="s">
        <v>135</v>
      </c>
      <c r="U5" s="116" t="s">
        <v>13</v>
      </c>
      <c r="V5" s="115" t="s">
        <v>134</v>
      </c>
      <c r="W5" s="116" t="s">
        <v>135</v>
      </c>
    </row>
    <row r="6" ht="16" customHeight="1" spans="1:26">
      <c r="A6" s="56" t="s">
        <v>13</v>
      </c>
      <c r="B6" s="138">
        <f>B7+B17</f>
        <v>969</v>
      </c>
      <c r="C6" s="138">
        <f>C7+C17</f>
        <v>531</v>
      </c>
      <c r="D6" s="138">
        <f>D7+D17</f>
        <v>438</v>
      </c>
      <c r="E6" s="138">
        <v>4975</v>
      </c>
      <c r="F6" s="138">
        <v>3428</v>
      </c>
      <c r="G6" s="138">
        <v>1547</v>
      </c>
      <c r="H6" s="138">
        <v>4334</v>
      </c>
      <c r="I6" s="138">
        <v>2890</v>
      </c>
      <c r="J6" s="138">
        <v>1444</v>
      </c>
      <c r="K6" s="138">
        <f t="shared" ref="K6:M6" si="0">K7+K17</f>
        <v>5944</v>
      </c>
      <c r="L6" s="138">
        <f t="shared" si="0"/>
        <v>3959</v>
      </c>
      <c r="M6" s="138">
        <f t="shared" si="0"/>
        <v>1985</v>
      </c>
      <c r="N6" s="138"/>
      <c r="O6" s="138"/>
      <c r="P6" s="138"/>
      <c r="Q6" s="138">
        <f t="shared" ref="Q6:W6" si="1">Q7+Q17</f>
        <v>0</v>
      </c>
      <c r="R6" s="138">
        <f t="shared" si="1"/>
        <v>645561</v>
      </c>
      <c r="S6" s="138">
        <f t="shared" si="1"/>
        <v>569679</v>
      </c>
      <c r="T6" s="138">
        <f t="shared" si="1"/>
        <v>144228</v>
      </c>
      <c r="U6" s="138">
        <f t="shared" si="1"/>
        <v>1169227</v>
      </c>
      <c r="V6" s="138">
        <f t="shared" si="1"/>
        <v>1114349</v>
      </c>
      <c r="W6" s="138">
        <f t="shared" si="1"/>
        <v>30400</v>
      </c>
      <c r="Y6" s="51">
        <f>T6+W6</f>
        <v>174628</v>
      </c>
      <c r="Z6" s="51">
        <f>R6+U6-Y6</f>
        <v>1640160</v>
      </c>
    </row>
    <row r="7" ht="16" customHeight="1" spans="1:23">
      <c r="A7" s="56" t="s">
        <v>14</v>
      </c>
      <c r="B7" s="138">
        <f>SUM(B8:B16)</f>
        <v>15</v>
      </c>
      <c r="C7" s="138">
        <f>SUM(C8:C16)</f>
        <v>3</v>
      </c>
      <c r="D7" s="138">
        <f>SUM(D8:D16)</f>
        <v>12</v>
      </c>
      <c r="E7" s="138">
        <v>27</v>
      </c>
      <c r="F7" s="138">
        <v>18</v>
      </c>
      <c r="G7" s="138">
        <v>9</v>
      </c>
      <c r="H7" s="138">
        <v>0</v>
      </c>
      <c r="I7" s="138">
        <v>0</v>
      </c>
      <c r="J7" s="138">
        <v>0</v>
      </c>
      <c r="K7" s="138">
        <f t="shared" ref="K7:M7" si="2">SUM(K8:K16)</f>
        <v>42</v>
      </c>
      <c r="L7" s="138">
        <f t="shared" si="2"/>
        <v>21</v>
      </c>
      <c r="M7" s="138">
        <f t="shared" si="2"/>
        <v>21</v>
      </c>
      <c r="N7" s="138"/>
      <c r="O7" s="138"/>
      <c r="P7" s="138"/>
      <c r="Q7" s="138">
        <f t="shared" ref="Q7:W7" si="3">SUM(Q8:Q16)</f>
        <v>0</v>
      </c>
      <c r="R7" s="138">
        <f t="shared" si="3"/>
        <v>7835</v>
      </c>
      <c r="S7" s="138">
        <f t="shared" si="3"/>
        <v>1672</v>
      </c>
      <c r="T7" s="138">
        <f t="shared" si="3"/>
        <v>310</v>
      </c>
      <c r="U7" s="138">
        <f t="shared" si="3"/>
        <v>9944</v>
      </c>
      <c r="V7" s="138">
        <f t="shared" si="3"/>
        <v>3314</v>
      </c>
      <c r="W7" s="138">
        <f t="shared" si="3"/>
        <v>210</v>
      </c>
    </row>
    <row r="8" ht="14.25" customHeight="1" spans="1:23">
      <c r="A8" s="139" t="s">
        <v>16</v>
      </c>
      <c r="B8" s="140">
        <f t="shared" ref="B8:B16" si="4">C8+D8</f>
        <v>0</v>
      </c>
      <c r="C8" s="140">
        <f t="shared" ref="C8:C16" si="5">L8-F8</f>
        <v>0</v>
      </c>
      <c r="D8" s="140">
        <f t="shared" ref="D8:D16" si="6">M8-G8</f>
        <v>0</v>
      </c>
      <c r="E8" s="97">
        <v>0</v>
      </c>
      <c r="F8" s="97">
        <v>0</v>
      </c>
      <c r="G8" s="97">
        <v>0</v>
      </c>
      <c r="H8" s="97"/>
      <c r="I8" s="97"/>
      <c r="J8" s="97"/>
      <c r="K8" s="124">
        <f t="shared" ref="K8:K16" si="7">SUM(L8:M8)</f>
        <v>0</v>
      </c>
      <c r="L8" s="124">
        <f t="shared" ref="L8:L16" si="8">ROUND((T8*1250+W8*1000)*25%*0.5/10000,0)+ROUND(((R8-T8)*1250*50%*3%+(U8-W8)*1000*50%*3%)*0.5/10000,0)</f>
        <v>0</v>
      </c>
      <c r="M8" s="124">
        <f>ROUND((T8*1250+W8*1000)*25%*0.5/10000,0)+ROUND(((R8-T8)*1250*50%*3%+(U8-W8)*1000*50%*3%)*0.5/10000,0)</f>
        <v>0</v>
      </c>
      <c r="N8" s="144"/>
      <c r="O8" s="144"/>
      <c r="P8" s="144"/>
      <c r="Q8" s="145"/>
      <c r="R8" s="97">
        <v>225</v>
      </c>
      <c r="S8" s="97">
        <v>225</v>
      </c>
      <c r="T8" s="97"/>
      <c r="U8" s="97"/>
      <c r="V8" s="97"/>
      <c r="W8" s="97"/>
    </row>
    <row r="9" ht="14.25" customHeight="1" spans="1:23">
      <c r="A9" s="139" t="s">
        <v>17</v>
      </c>
      <c r="B9" s="140">
        <f t="shared" si="4"/>
        <v>1</v>
      </c>
      <c r="C9" s="140">
        <f t="shared" si="5"/>
        <v>0</v>
      </c>
      <c r="D9" s="140">
        <f t="shared" si="6"/>
        <v>1</v>
      </c>
      <c r="E9" s="97">
        <v>1</v>
      </c>
      <c r="F9" s="97">
        <v>1</v>
      </c>
      <c r="G9" s="97">
        <v>0</v>
      </c>
      <c r="H9" s="97"/>
      <c r="I9" s="97"/>
      <c r="J9" s="97"/>
      <c r="K9" s="124">
        <f t="shared" si="7"/>
        <v>2</v>
      </c>
      <c r="L9" s="124">
        <f t="shared" si="8"/>
        <v>1</v>
      </c>
      <c r="M9" s="124">
        <f t="shared" ref="M9:M16" si="9">ROUND((T9*1250+W9*1000)*25%*0.5/10000,0)+ROUND(((R9-T9)*1250*50%*3%+(U9-W9)*1000*50%*3%)*0.5/10000,0)</f>
        <v>1</v>
      </c>
      <c r="N9" s="144"/>
      <c r="O9" s="144"/>
      <c r="P9" s="144"/>
      <c r="Q9" s="145"/>
      <c r="R9" s="97">
        <v>975</v>
      </c>
      <c r="S9" s="97"/>
      <c r="T9" s="97"/>
      <c r="U9" s="97"/>
      <c r="V9" s="97"/>
      <c r="W9" s="97"/>
    </row>
    <row r="10" ht="14.25" customHeight="1" spans="1:23">
      <c r="A10" s="139" t="s">
        <v>18</v>
      </c>
      <c r="B10" s="140">
        <f t="shared" si="4"/>
        <v>1</v>
      </c>
      <c r="C10" s="140">
        <f t="shared" si="5"/>
        <v>0</v>
      </c>
      <c r="D10" s="140">
        <f t="shared" si="6"/>
        <v>1</v>
      </c>
      <c r="E10" s="97">
        <v>5</v>
      </c>
      <c r="F10" s="97">
        <v>3</v>
      </c>
      <c r="G10" s="97">
        <v>2</v>
      </c>
      <c r="H10" s="97"/>
      <c r="I10" s="97"/>
      <c r="J10" s="97"/>
      <c r="K10" s="124">
        <f t="shared" si="7"/>
        <v>6</v>
      </c>
      <c r="L10" s="124">
        <f t="shared" si="8"/>
        <v>3</v>
      </c>
      <c r="M10" s="124">
        <f t="shared" si="9"/>
        <v>3</v>
      </c>
      <c r="N10" s="144"/>
      <c r="O10" s="144"/>
      <c r="P10" s="144"/>
      <c r="Q10" s="145"/>
      <c r="R10" s="97">
        <v>843</v>
      </c>
      <c r="S10" s="97">
        <v>843</v>
      </c>
      <c r="T10" s="97"/>
      <c r="U10" s="97">
        <v>3104</v>
      </c>
      <c r="V10" s="97">
        <v>3104</v>
      </c>
      <c r="W10" s="97"/>
    </row>
    <row r="11" ht="14.25" customHeight="1" spans="1:23">
      <c r="A11" s="139" t="s">
        <v>19</v>
      </c>
      <c r="B11" s="140">
        <f t="shared" si="4"/>
        <v>2</v>
      </c>
      <c r="C11" s="140">
        <f t="shared" si="5"/>
        <v>0</v>
      </c>
      <c r="D11" s="140">
        <f t="shared" si="6"/>
        <v>2</v>
      </c>
      <c r="E11" s="97">
        <v>8</v>
      </c>
      <c r="F11" s="97">
        <v>5</v>
      </c>
      <c r="G11" s="97">
        <v>3</v>
      </c>
      <c r="H11" s="97"/>
      <c r="I11" s="97"/>
      <c r="J11" s="97"/>
      <c r="K11" s="124">
        <f t="shared" si="7"/>
        <v>10</v>
      </c>
      <c r="L11" s="124">
        <f t="shared" si="8"/>
        <v>5</v>
      </c>
      <c r="M11" s="124">
        <f t="shared" si="9"/>
        <v>5</v>
      </c>
      <c r="N11" s="144"/>
      <c r="O11" s="144"/>
      <c r="P11" s="144"/>
      <c r="Q11" s="145"/>
      <c r="R11" s="97">
        <v>3033</v>
      </c>
      <c r="S11" s="97"/>
      <c r="T11" s="97"/>
      <c r="U11" s="97">
        <v>2930</v>
      </c>
      <c r="V11" s="97"/>
      <c r="W11" s="97"/>
    </row>
    <row r="12" ht="14.25" customHeight="1" spans="1:23">
      <c r="A12" s="139" t="s">
        <v>20</v>
      </c>
      <c r="B12" s="140">
        <f t="shared" si="4"/>
        <v>3</v>
      </c>
      <c r="C12" s="140">
        <f t="shared" si="5"/>
        <v>1</v>
      </c>
      <c r="D12" s="140">
        <f t="shared" si="6"/>
        <v>2</v>
      </c>
      <c r="E12" s="97">
        <v>3</v>
      </c>
      <c r="F12" s="97">
        <v>2</v>
      </c>
      <c r="G12" s="97">
        <v>1</v>
      </c>
      <c r="H12" s="97"/>
      <c r="I12" s="97"/>
      <c r="J12" s="97"/>
      <c r="K12" s="124">
        <f t="shared" si="7"/>
        <v>6</v>
      </c>
      <c r="L12" s="124">
        <f t="shared" si="8"/>
        <v>3</v>
      </c>
      <c r="M12" s="124">
        <f t="shared" si="9"/>
        <v>3</v>
      </c>
      <c r="N12" s="144"/>
      <c r="O12" s="144"/>
      <c r="P12" s="144"/>
      <c r="Q12" s="145"/>
      <c r="R12" s="97">
        <v>1067</v>
      </c>
      <c r="S12" s="97"/>
      <c r="T12" s="97"/>
      <c r="U12" s="97">
        <v>2086</v>
      </c>
      <c r="V12" s="97"/>
      <c r="W12" s="97"/>
    </row>
    <row r="13" ht="14.25" customHeight="1" spans="1:23">
      <c r="A13" s="139" t="s">
        <v>21</v>
      </c>
      <c r="B13" s="140">
        <f t="shared" si="4"/>
        <v>0</v>
      </c>
      <c r="C13" s="140">
        <f t="shared" si="5"/>
        <v>0</v>
      </c>
      <c r="D13" s="140">
        <f t="shared" si="6"/>
        <v>0</v>
      </c>
      <c r="E13" s="97">
        <v>0</v>
      </c>
      <c r="F13" s="97">
        <v>0</v>
      </c>
      <c r="G13" s="97">
        <v>0</v>
      </c>
      <c r="H13" s="97"/>
      <c r="I13" s="97"/>
      <c r="J13" s="97"/>
      <c r="K13" s="124">
        <f t="shared" si="7"/>
        <v>0</v>
      </c>
      <c r="L13" s="124">
        <f t="shared" si="8"/>
        <v>0</v>
      </c>
      <c r="M13" s="124">
        <f t="shared" si="9"/>
        <v>0</v>
      </c>
      <c r="N13" s="144"/>
      <c r="O13" s="144"/>
      <c r="P13" s="144"/>
      <c r="Q13" s="145"/>
      <c r="R13" s="97">
        <v>294</v>
      </c>
      <c r="S13" s="97">
        <v>294</v>
      </c>
      <c r="T13" s="97"/>
      <c r="U13" s="97"/>
      <c r="V13" s="97"/>
      <c r="W13" s="97"/>
    </row>
    <row r="14" ht="14.25" customHeight="1" spans="1:23">
      <c r="A14" s="139" t="s">
        <v>22</v>
      </c>
      <c r="B14" s="140">
        <f t="shared" si="4"/>
        <v>1</v>
      </c>
      <c r="C14" s="140">
        <f t="shared" si="5"/>
        <v>0</v>
      </c>
      <c r="D14" s="140">
        <f t="shared" si="6"/>
        <v>1</v>
      </c>
      <c r="E14" s="97">
        <v>3</v>
      </c>
      <c r="F14" s="97">
        <v>2</v>
      </c>
      <c r="G14" s="97">
        <v>1</v>
      </c>
      <c r="H14" s="97"/>
      <c r="I14" s="97"/>
      <c r="J14" s="97"/>
      <c r="K14" s="124">
        <f t="shared" si="7"/>
        <v>4</v>
      </c>
      <c r="L14" s="124">
        <f t="shared" si="8"/>
        <v>2</v>
      </c>
      <c r="M14" s="124">
        <f t="shared" si="9"/>
        <v>2</v>
      </c>
      <c r="N14" s="144"/>
      <c r="O14" s="144"/>
      <c r="P14" s="144"/>
      <c r="Q14" s="145"/>
      <c r="R14" s="97">
        <v>692</v>
      </c>
      <c r="S14" s="97"/>
      <c r="T14" s="97"/>
      <c r="U14" s="97">
        <v>1569</v>
      </c>
      <c r="V14" s="97"/>
      <c r="W14" s="97"/>
    </row>
    <row r="15" ht="14.25" customHeight="1" spans="1:23">
      <c r="A15" s="139" t="s">
        <v>23</v>
      </c>
      <c r="B15" s="140">
        <f t="shared" si="4"/>
        <v>7</v>
      </c>
      <c r="C15" s="140">
        <f t="shared" si="5"/>
        <v>2</v>
      </c>
      <c r="D15" s="140">
        <f t="shared" si="6"/>
        <v>5</v>
      </c>
      <c r="E15" s="97">
        <v>7</v>
      </c>
      <c r="F15" s="97">
        <v>5</v>
      </c>
      <c r="G15" s="97">
        <v>2</v>
      </c>
      <c r="H15" s="97"/>
      <c r="I15" s="97"/>
      <c r="J15" s="97"/>
      <c r="K15" s="124">
        <f t="shared" si="7"/>
        <v>14</v>
      </c>
      <c r="L15" s="124">
        <f t="shared" si="8"/>
        <v>7</v>
      </c>
      <c r="M15" s="124">
        <f t="shared" si="9"/>
        <v>7</v>
      </c>
      <c r="N15" s="144"/>
      <c r="O15" s="144"/>
      <c r="P15" s="144"/>
      <c r="Q15" s="145"/>
      <c r="R15" s="97">
        <v>310</v>
      </c>
      <c r="S15" s="97">
        <v>310</v>
      </c>
      <c r="T15" s="97">
        <v>310</v>
      </c>
      <c r="U15" s="97">
        <v>210</v>
      </c>
      <c r="V15" s="97">
        <v>210</v>
      </c>
      <c r="W15" s="97">
        <v>210</v>
      </c>
    </row>
    <row r="16" ht="14.25" customHeight="1" spans="1:23">
      <c r="A16" s="139" t="s">
        <v>136</v>
      </c>
      <c r="B16" s="140">
        <f t="shared" si="4"/>
        <v>0</v>
      </c>
      <c r="C16" s="140">
        <f t="shared" si="5"/>
        <v>0</v>
      </c>
      <c r="D16" s="140">
        <f t="shared" si="6"/>
        <v>0</v>
      </c>
      <c r="E16" s="97">
        <v>0</v>
      </c>
      <c r="F16" s="97">
        <v>0</v>
      </c>
      <c r="G16" s="97">
        <v>0</v>
      </c>
      <c r="H16" s="97"/>
      <c r="I16" s="97"/>
      <c r="J16" s="97"/>
      <c r="K16" s="124">
        <f t="shared" si="7"/>
        <v>0</v>
      </c>
      <c r="L16" s="124">
        <f t="shared" si="8"/>
        <v>0</v>
      </c>
      <c r="M16" s="124">
        <f t="shared" si="9"/>
        <v>0</v>
      </c>
      <c r="N16" s="144"/>
      <c r="O16" s="144"/>
      <c r="P16" s="144"/>
      <c r="Q16" s="145"/>
      <c r="R16" s="97">
        <v>396</v>
      </c>
      <c r="S16" s="97"/>
      <c r="T16" s="97"/>
      <c r="U16" s="97">
        <v>45</v>
      </c>
      <c r="V16" s="97"/>
      <c r="W16" s="97"/>
    </row>
    <row r="17" ht="14.25" customHeight="1" spans="1:26">
      <c r="A17" s="65" t="s">
        <v>24</v>
      </c>
      <c r="B17" s="141">
        <f>SUM(B18,B32:B35,B43:B48,B52:B56,B61:B63,B67:B72,B76:B80,B84:B88,B91:B95,B105)</f>
        <v>954</v>
      </c>
      <c r="C17" s="141">
        <f>SUM(C18,C32:C35,C43:C48,C52:C56,C61:C63,C67:C72,C76:C80,C84:C88,C91:C95,C105)</f>
        <v>528</v>
      </c>
      <c r="D17" s="141">
        <f>SUM(D18,D32:D35,D43:D48,D52:D56,D61:D63,D67:D72,D76:D80,D84:D88,D91:D95,D105)</f>
        <v>426</v>
      </c>
      <c r="E17" s="97">
        <v>4948</v>
      </c>
      <c r="F17" s="97">
        <v>3410</v>
      </c>
      <c r="G17" s="97">
        <v>1538</v>
      </c>
      <c r="H17" s="97">
        <v>4334</v>
      </c>
      <c r="I17" s="97">
        <v>2890</v>
      </c>
      <c r="J17" s="97">
        <v>1444</v>
      </c>
      <c r="K17" s="97">
        <f t="shared" ref="K17:P17" si="10">SUM(K18,K32:K35,K43:K48,K52:K56,K61:K63,K67:K72,K76:K80,K84:K88,K91:K95,K105)</f>
        <v>5902</v>
      </c>
      <c r="L17" s="97">
        <f t="shared" si="10"/>
        <v>3938</v>
      </c>
      <c r="M17" s="97">
        <f t="shared" si="10"/>
        <v>1964</v>
      </c>
      <c r="N17" s="97">
        <f t="shared" si="10"/>
        <v>1568</v>
      </c>
      <c r="O17" s="97">
        <f t="shared" si="10"/>
        <v>1048</v>
      </c>
      <c r="P17" s="97">
        <f t="shared" si="10"/>
        <v>520</v>
      </c>
      <c r="Q17" s="145"/>
      <c r="R17" s="97">
        <f t="shared" ref="R17:W17" si="11">SUM(R18,R32:R35,R43:R48,R52:R56,R61:R63,R67:R72,R76:R80,R84:R88,R91:R95,R105)</f>
        <v>637726</v>
      </c>
      <c r="S17" s="97">
        <f t="shared" si="11"/>
        <v>568007</v>
      </c>
      <c r="T17" s="97">
        <f t="shared" si="11"/>
        <v>143918</v>
      </c>
      <c r="U17" s="97">
        <f t="shared" si="11"/>
        <v>1159283</v>
      </c>
      <c r="V17" s="97">
        <f t="shared" si="11"/>
        <v>1111035</v>
      </c>
      <c r="W17" s="97">
        <f t="shared" si="11"/>
        <v>30190</v>
      </c>
      <c r="X17" s="51">
        <f>T17+W17</f>
        <v>174108</v>
      </c>
      <c r="Z17" s="51">
        <f>(T17*1250*0.5+W17*1000*0.5)*0.25+((R17-T17)*625*0.5+(U17-W17)*500*0.5)*0.03</f>
        <v>39358585</v>
      </c>
    </row>
    <row r="18" ht="14.25" customHeight="1" spans="1:23">
      <c r="A18" s="69" t="s">
        <v>25</v>
      </c>
      <c r="B18" s="102">
        <f>SUM(B19:B31)</f>
        <v>106</v>
      </c>
      <c r="C18" s="102">
        <f>SUM(C19:C31)</f>
        <v>62</v>
      </c>
      <c r="D18" s="102">
        <f>SUM(D19:D31)</f>
        <v>44</v>
      </c>
      <c r="E18" s="102">
        <v>474</v>
      </c>
      <c r="F18" s="102">
        <v>324</v>
      </c>
      <c r="G18" s="102">
        <v>150</v>
      </c>
      <c r="H18" s="102">
        <v>215</v>
      </c>
      <c r="I18" s="102">
        <v>143</v>
      </c>
      <c r="J18" s="102">
        <v>72</v>
      </c>
      <c r="K18" s="102">
        <f t="shared" ref="K18:P18" si="12">SUM(K19:K31)</f>
        <v>580</v>
      </c>
      <c r="L18" s="102">
        <f t="shared" si="12"/>
        <v>386</v>
      </c>
      <c r="M18" s="102">
        <f t="shared" si="12"/>
        <v>194</v>
      </c>
      <c r="N18" s="102">
        <f t="shared" si="12"/>
        <v>365</v>
      </c>
      <c r="O18" s="102">
        <f t="shared" si="12"/>
        <v>243</v>
      </c>
      <c r="P18" s="102">
        <f t="shared" si="12"/>
        <v>122</v>
      </c>
      <c r="Q18" s="146" t="s">
        <v>137</v>
      </c>
      <c r="R18" s="102">
        <f t="shared" ref="R18:W18" si="13">SUM(R19:R31)</f>
        <v>103082</v>
      </c>
      <c r="S18" s="102">
        <f t="shared" si="13"/>
        <v>82112</v>
      </c>
      <c r="T18" s="102">
        <f t="shared" si="13"/>
        <v>7478</v>
      </c>
      <c r="U18" s="102">
        <f t="shared" si="13"/>
        <v>236658</v>
      </c>
      <c r="V18" s="102">
        <f t="shared" si="13"/>
        <v>215821</v>
      </c>
      <c r="W18" s="102">
        <f t="shared" si="13"/>
        <v>187</v>
      </c>
    </row>
    <row r="19" ht="14.25" customHeight="1" spans="1:23">
      <c r="A19" s="71" t="s">
        <v>26</v>
      </c>
      <c r="B19" s="140">
        <f t="shared" ref="B19:B34" si="14">C19+D19</f>
        <v>27</v>
      </c>
      <c r="C19" s="140">
        <f t="shared" ref="C19:C34" si="15">L19-F19</f>
        <v>17</v>
      </c>
      <c r="D19" s="140">
        <f t="shared" ref="D19:D34" si="16">M19-G19</f>
        <v>10</v>
      </c>
      <c r="E19" s="124">
        <v>31</v>
      </c>
      <c r="F19" s="124">
        <v>21</v>
      </c>
      <c r="G19" s="124">
        <v>10</v>
      </c>
      <c r="H19" s="124">
        <v>14</v>
      </c>
      <c r="I19" s="124">
        <v>9</v>
      </c>
      <c r="J19" s="124">
        <v>5</v>
      </c>
      <c r="K19" s="124">
        <f t="shared" ref="K19:K34" si="17">SUM(L19:M19)</f>
        <v>58</v>
      </c>
      <c r="L19" s="124">
        <f>ROUND((T19*1250+W19*1000)*25%*0.5/10000,0)+ROUND(((R19-T19)*1250*50%*3%+(U19-W19)*1000*50%*3%)*0.5/10000,0)</f>
        <v>38</v>
      </c>
      <c r="M19" s="124">
        <f t="shared" ref="M19:M34" si="18">ROUND((T19*1250+W19*1000)*25%*0.25/10000,0)+ROUND(((R19-T19)*1250*50%*3%+(U19-W19)*1000*50%*3%)*0.25/10000,0)</f>
        <v>20</v>
      </c>
      <c r="N19" s="124">
        <f t="shared" ref="N19:N34" si="19">O19+P19</f>
        <v>44</v>
      </c>
      <c r="O19" s="124">
        <f t="shared" ref="O19:O34" si="20">L19-I19</f>
        <v>29</v>
      </c>
      <c r="P19" s="124">
        <f t="shared" ref="P19:P34" si="21">M19-J19</f>
        <v>15</v>
      </c>
      <c r="Q19" s="147"/>
      <c r="R19" s="117">
        <v>8310</v>
      </c>
      <c r="S19" s="108">
        <v>3493</v>
      </c>
      <c r="T19" s="108">
        <v>1501</v>
      </c>
      <c r="U19" s="117">
        <v>11966</v>
      </c>
      <c r="V19" s="108">
        <v>4051</v>
      </c>
      <c r="W19" s="108">
        <v>0</v>
      </c>
    </row>
    <row r="20" ht="14.25" customHeight="1" spans="1:23">
      <c r="A20" s="71" t="s">
        <v>27</v>
      </c>
      <c r="B20" s="140">
        <f t="shared" si="14"/>
        <v>3</v>
      </c>
      <c r="C20" s="140">
        <f t="shared" si="15"/>
        <v>1</v>
      </c>
      <c r="D20" s="140">
        <f t="shared" si="16"/>
        <v>2</v>
      </c>
      <c r="E20" s="124">
        <v>29</v>
      </c>
      <c r="F20" s="124">
        <v>20</v>
      </c>
      <c r="G20" s="124">
        <v>9</v>
      </c>
      <c r="H20" s="124">
        <v>3</v>
      </c>
      <c r="I20" s="124">
        <v>2</v>
      </c>
      <c r="J20" s="124">
        <v>1</v>
      </c>
      <c r="K20" s="124">
        <f t="shared" si="17"/>
        <v>32</v>
      </c>
      <c r="L20" s="124">
        <f t="shared" ref="L19:L34" si="22">ROUND((T20*1250+W20*1000)*25%*0.5/10000,0)+ROUND(((R20-T20)*1250*50%*3%+(U20-W20)*1000*50%*3%)*0.5/10000,0)</f>
        <v>21</v>
      </c>
      <c r="M20" s="124">
        <f t="shared" si="18"/>
        <v>11</v>
      </c>
      <c r="N20" s="124">
        <f t="shared" si="19"/>
        <v>29</v>
      </c>
      <c r="O20" s="124">
        <f t="shared" si="20"/>
        <v>19</v>
      </c>
      <c r="P20" s="124">
        <f t="shared" si="21"/>
        <v>10</v>
      </c>
      <c r="Q20" s="147"/>
      <c r="R20" s="117">
        <v>6990</v>
      </c>
      <c r="S20" s="108">
        <v>6990</v>
      </c>
      <c r="T20" s="108">
        <v>0</v>
      </c>
      <c r="U20" s="117">
        <v>19616</v>
      </c>
      <c r="V20" s="108">
        <v>19616</v>
      </c>
      <c r="W20" s="108">
        <v>0</v>
      </c>
    </row>
    <row r="21" ht="14.25" customHeight="1" spans="1:23">
      <c r="A21" s="71" t="s">
        <v>28</v>
      </c>
      <c r="B21" s="140">
        <f t="shared" si="14"/>
        <v>3</v>
      </c>
      <c r="C21" s="140">
        <f t="shared" si="15"/>
        <v>2</v>
      </c>
      <c r="D21" s="140">
        <f t="shared" si="16"/>
        <v>1</v>
      </c>
      <c r="E21" s="124">
        <v>43</v>
      </c>
      <c r="F21" s="124">
        <v>29</v>
      </c>
      <c r="G21" s="124">
        <v>14</v>
      </c>
      <c r="H21" s="124">
        <v>10</v>
      </c>
      <c r="I21" s="124">
        <v>7</v>
      </c>
      <c r="J21" s="124">
        <v>3</v>
      </c>
      <c r="K21" s="124">
        <f t="shared" si="17"/>
        <v>46</v>
      </c>
      <c r="L21" s="124">
        <f t="shared" si="22"/>
        <v>31</v>
      </c>
      <c r="M21" s="124">
        <f t="shared" si="18"/>
        <v>15</v>
      </c>
      <c r="N21" s="124">
        <f t="shared" si="19"/>
        <v>36</v>
      </c>
      <c r="O21" s="124">
        <f t="shared" si="20"/>
        <v>24</v>
      </c>
      <c r="P21" s="124">
        <f t="shared" si="21"/>
        <v>12</v>
      </c>
      <c r="Q21" s="147"/>
      <c r="R21" s="117">
        <v>9332</v>
      </c>
      <c r="S21" s="108">
        <v>9332</v>
      </c>
      <c r="T21" s="108">
        <v>0</v>
      </c>
      <c r="U21" s="117">
        <v>29336</v>
      </c>
      <c r="V21" s="108">
        <v>29255</v>
      </c>
      <c r="W21" s="108">
        <v>0</v>
      </c>
    </row>
    <row r="22" ht="14.25" customHeight="1" spans="1:23">
      <c r="A22" s="71" t="s">
        <v>29</v>
      </c>
      <c r="B22" s="140">
        <f t="shared" si="14"/>
        <v>4</v>
      </c>
      <c r="C22" s="140">
        <f t="shared" si="15"/>
        <v>2</v>
      </c>
      <c r="D22" s="140">
        <f t="shared" si="16"/>
        <v>2</v>
      </c>
      <c r="E22" s="124">
        <v>51</v>
      </c>
      <c r="F22" s="124">
        <v>35</v>
      </c>
      <c r="G22" s="124">
        <v>16</v>
      </c>
      <c r="H22" s="124">
        <v>10</v>
      </c>
      <c r="I22" s="124">
        <v>7</v>
      </c>
      <c r="J22" s="124">
        <v>3</v>
      </c>
      <c r="K22" s="124">
        <f t="shared" si="17"/>
        <v>55</v>
      </c>
      <c r="L22" s="124">
        <f t="shared" si="22"/>
        <v>37</v>
      </c>
      <c r="M22" s="124">
        <f t="shared" si="18"/>
        <v>18</v>
      </c>
      <c r="N22" s="124">
        <f t="shared" si="19"/>
        <v>45</v>
      </c>
      <c r="O22" s="124">
        <f t="shared" si="20"/>
        <v>30</v>
      </c>
      <c r="P22" s="124">
        <f t="shared" si="21"/>
        <v>15</v>
      </c>
      <c r="Q22" s="147"/>
      <c r="R22" s="117">
        <v>9061</v>
      </c>
      <c r="S22" s="108">
        <v>5919</v>
      </c>
      <c r="T22" s="108">
        <v>781</v>
      </c>
      <c r="U22" s="117">
        <v>22327</v>
      </c>
      <c r="V22" s="108">
        <v>20316</v>
      </c>
      <c r="W22" s="108">
        <v>0</v>
      </c>
    </row>
    <row r="23" ht="14.25" customHeight="1" spans="1:23">
      <c r="A23" s="71" t="s">
        <v>30</v>
      </c>
      <c r="B23" s="140">
        <f t="shared" si="14"/>
        <v>1</v>
      </c>
      <c r="C23" s="140">
        <f t="shared" si="15"/>
        <v>0</v>
      </c>
      <c r="D23" s="140">
        <f t="shared" si="16"/>
        <v>1</v>
      </c>
      <c r="E23" s="124">
        <v>43</v>
      </c>
      <c r="F23" s="124">
        <v>29</v>
      </c>
      <c r="G23" s="124">
        <v>14</v>
      </c>
      <c r="H23" s="124">
        <v>6</v>
      </c>
      <c r="I23" s="124">
        <v>4</v>
      </c>
      <c r="J23" s="124">
        <v>2</v>
      </c>
      <c r="K23" s="124">
        <f t="shared" si="17"/>
        <v>44</v>
      </c>
      <c r="L23" s="124">
        <f t="shared" si="22"/>
        <v>29</v>
      </c>
      <c r="M23" s="124">
        <f t="shared" si="18"/>
        <v>15</v>
      </c>
      <c r="N23" s="124">
        <f t="shared" si="19"/>
        <v>38</v>
      </c>
      <c r="O23" s="124">
        <f t="shared" si="20"/>
        <v>25</v>
      </c>
      <c r="P23" s="124">
        <f t="shared" si="21"/>
        <v>13</v>
      </c>
      <c r="Q23" s="147"/>
      <c r="R23" s="117">
        <v>11702</v>
      </c>
      <c r="S23" s="108">
        <v>5599</v>
      </c>
      <c r="T23" s="108">
        <v>0</v>
      </c>
      <c r="U23" s="117">
        <v>24099</v>
      </c>
      <c r="V23" s="108">
        <v>17724</v>
      </c>
      <c r="W23" s="108">
        <v>0</v>
      </c>
    </row>
    <row r="24" ht="14.25" customHeight="1" spans="1:23">
      <c r="A24" s="71" t="s">
        <v>31</v>
      </c>
      <c r="B24" s="140">
        <f t="shared" si="14"/>
        <v>3</v>
      </c>
      <c r="C24" s="140">
        <f t="shared" si="15"/>
        <v>2</v>
      </c>
      <c r="D24" s="140">
        <f t="shared" si="16"/>
        <v>1</v>
      </c>
      <c r="E24" s="124">
        <v>40</v>
      </c>
      <c r="F24" s="124">
        <v>27</v>
      </c>
      <c r="G24" s="124">
        <v>13</v>
      </c>
      <c r="H24" s="124">
        <v>17</v>
      </c>
      <c r="I24" s="124">
        <v>11</v>
      </c>
      <c r="J24" s="124">
        <v>6</v>
      </c>
      <c r="K24" s="124">
        <f t="shared" si="17"/>
        <v>43</v>
      </c>
      <c r="L24" s="124">
        <f t="shared" si="22"/>
        <v>29</v>
      </c>
      <c r="M24" s="124">
        <f t="shared" si="18"/>
        <v>14</v>
      </c>
      <c r="N24" s="124">
        <f t="shared" si="19"/>
        <v>26</v>
      </c>
      <c r="O24" s="124">
        <f t="shared" si="20"/>
        <v>18</v>
      </c>
      <c r="P24" s="124">
        <f t="shared" si="21"/>
        <v>8</v>
      </c>
      <c r="Q24" s="147"/>
      <c r="R24" s="117">
        <v>10487</v>
      </c>
      <c r="S24" s="108">
        <v>6897</v>
      </c>
      <c r="T24" s="108">
        <v>0</v>
      </c>
      <c r="U24" s="117">
        <v>25109</v>
      </c>
      <c r="V24" s="108">
        <v>23488</v>
      </c>
      <c r="W24" s="108">
        <v>0</v>
      </c>
    </row>
    <row r="25" ht="14.25" customHeight="1" spans="1:23">
      <c r="A25" s="71" t="s">
        <v>32</v>
      </c>
      <c r="B25" s="140">
        <f t="shared" si="14"/>
        <v>9</v>
      </c>
      <c r="C25" s="140">
        <f t="shared" si="15"/>
        <v>5</v>
      </c>
      <c r="D25" s="140">
        <f t="shared" si="16"/>
        <v>4</v>
      </c>
      <c r="E25" s="124">
        <v>23</v>
      </c>
      <c r="F25" s="124">
        <v>16</v>
      </c>
      <c r="G25" s="124">
        <v>7</v>
      </c>
      <c r="H25" s="124">
        <v>6</v>
      </c>
      <c r="I25" s="124">
        <v>4</v>
      </c>
      <c r="J25" s="124">
        <v>2</v>
      </c>
      <c r="K25" s="124">
        <f t="shared" si="17"/>
        <v>32</v>
      </c>
      <c r="L25" s="124">
        <f t="shared" si="22"/>
        <v>21</v>
      </c>
      <c r="M25" s="124">
        <f t="shared" si="18"/>
        <v>11</v>
      </c>
      <c r="N25" s="124">
        <f t="shared" si="19"/>
        <v>26</v>
      </c>
      <c r="O25" s="124">
        <f t="shared" si="20"/>
        <v>17</v>
      </c>
      <c r="P25" s="124">
        <f t="shared" si="21"/>
        <v>9</v>
      </c>
      <c r="Q25" s="147"/>
      <c r="R25" s="117">
        <v>6015</v>
      </c>
      <c r="S25" s="108">
        <v>5013</v>
      </c>
      <c r="T25" s="108">
        <v>0</v>
      </c>
      <c r="U25" s="117">
        <v>20605</v>
      </c>
      <c r="V25" s="108">
        <v>17971</v>
      </c>
      <c r="W25" s="108">
        <v>0</v>
      </c>
    </row>
    <row r="26" ht="14.25" customHeight="1" spans="1:23">
      <c r="A26" s="71" t="s">
        <v>33</v>
      </c>
      <c r="B26" s="140">
        <f t="shared" si="14"/>
        <v>50</v>
      </c>
      <c r="C26" s="140">
        <f t="shared" si="15"/>
        <v>33</v>
      </c>
      <c r="D26" s="140">
        <f t="shared" si="16"/>
        <v>17</v>
      </c>
      <c r="E26" s="124">
        <v>16</v>
      </c>
      <c r="F26" s="124">
        <v>11</v>
      </c>
      <c r="G26" s="124">
        <v>5</v>
      </c>
      <c r="H26" s="124">
        <v>3</v>
      </c>
      <c r="I26" s="124">
        <v>2</v>
      </c>
      <c r="J26" s="124">
        <v>1</v>
      </c>
      <c r="K26" s="124">
        <f t="shared" si="17"/>
        <v>66</v>
      </c>
      <c r="L26" s="124">
        <f t="shared" si="22"/>
        <v>44</v>
      </c>
      <c r="M26" s="124">
        <f t="shared" si="18"/>
        <v>22</v>
      </c>
      <c r="N26" s="124">
        <f t="shared" si="19"/>
        <v>63</v>
      </c>
      <c r="O26" s="124">
        <f t="shared" si="20"/>
        <v>42</v>
      </c>
      <c r="P26" s="124">
        <f t="shared" si="21"/>
        <v>21</v>
      </c>
      <c r="Q26" s="147"/>
      <c r="R26" s="117">
        <v>4618</v>
      </c>
      <c r="S26" s="108">
        <v>2521</v>
      </c>
      <c r="T26" s="108">
        <v>2097</v>
      </c>
      <c r="U26" s="117">
        <v>11545</v>
      </c>
      <c r="V26" s="108">
        <v>11545</v>
      </c>
      <c r="W26" s="108">
        <v>0</v>
      </c>
    </row>
    <row r="27" ht="14.25" customHeight="1" spans="1:23">
      <c r="A27" s="71" t="s">
        <v>34</v>
      </c>
      <c r="B27" s="140">
        <f t="shared" si="14"/>
        <v>3</v>
      </c>
      <c r="C27" s="140">
        <f t="shared" si="15"/>
        <v>1</v>
      </c>
      <c r="D27" s="140">
        <f t="shared" si="16"/>
        <v>2</v>
      </c>
      <c r="E27" s="124">
        <v>20</v>
      </c>
      <c r="F27" s="124">
        <v>14</v>
      </c>
      <c r="G27" s="124">
        <v>6</v>
      </c>
      <c r="H27" s="124">
        <v>15</v>
      </c>
      <c r="I27" s="124">
        <v>10</v>
      </c>
      <c r="J27" s="124">
        <v>5</v>
      </c>
      <c r="K27" s="124">
        <f t="shared" si="17"/>
        <v>23</v>
      </c>
      <c r="L27" s="124">
        <f t="shared" si="22"/>
        <v>15</v>
      </c>
      <c r="M27" s="124">
        <f t="shared" si="18"/>
        <v>8</v>
      </c>
      <c r="N27" s="124">
        <f t="shared" si="19"/>
        <v>8</v>
      </c>
      <c r="O27" s="124">
        <f t="shared" si="20"/>
        <v>5</v>
      </c>
      <c r="P27" s="124">
        <f t="shared" si="21"/>
        <v>3</v>
      </c>
      <c r="Q27" s="147"/>
      <c r="R27" s="117">
        <v>2428</v>
      </c>
      <c r="S27" s="108">
        <v>2428</v>
      </c>
      <c r="T27" s="108">
        <v>465</v>
      </c>
      <c r="U27" s="117">
        <v>8141</v>
      </c>
      <c r="V27" s="108">
        <v>8141</v>
      </c>
      <c r="W27" s="108">
        <v>0</v>
      </c>
    </row>
    <row r="28" ht="14.25" customHeight="1" spans="1:23">
      <c r="A28" s="71" t="s">
        <v>35</v>
      </c>
      <c r="B28" s="140">
        <f t="shared" si="14"/>
        <v>2</v>
      </c>
      <c r="C28" s="140">
        <f t="shared" si="15"/>
        <v>1</v>
      </c>
      <c r="D28" s="140">
        <f t="shared" si="16"/>
        <v>1</v>
      </c>
      <c r="E28" s="124">
        <v>25</v>
      </c>
      <c r="F28" s="124">
        <v>17</v>
      </c>
      <c r="G28" s="124">
        <v>8</v>
      </c>
      <c r="H28" s="124">
        <v>3</v>
      </c>
      <c r="I28" s="124">
        <v>2</v>
      </c>
      <c r="J28" s="124">
        <v>1</v>
      </c>
      <c r="K28" s="124">
        <f t="shared" si="17"/>
        <v>27</v>
      </c>
      <c r="L28" s="124">
        <f t="shared" si="22"/>
        <v>18</v>
      </c>
      <c r="M28" s="124">
        <f t="shared" si="18"/>
        <v>9</v>
      </c>
      <c r="N28" s="124">
        <f t="shared" si="19"/>
        <v>24</v>
      </c>
      <c r="O28" s="124">
        <f t="shared" si="20"/>
        <v>16</v>
      </c>
      <c r="P28" s="124">
        <f t="shared" si="21"/>
        <v>8</v>
      </c>
      <c r="Q28" s="147"/>
      <c r="R28" s="117">
        <v>6430</v>
      </c>
      <c r="S28" s="108">
        <v>6430</v>
      </c>
      <c r="T28" s="108">
        <v>0</v>
      </c>
      <c r="U28" s="117">
        <v>15694</v>
      </c>
      <c r="V28" s="108">
        <v>15694</v>
      </c>
      <c r="W28" s="108">
        <v>0</v>
      </c>
    </row>
    <row r="29" ht="14.25" customHeight="1" spans="1:23">
      <c r="A29" s="71" t="s">
        <v>36</v>
      </c>
      <c r="B29" s="140">
        <f t="shared" si="14"/>
        <v>0</v>
      </c>
      <c r="C29" s="140">
        <f t="shared" si="15"/>
        <v>0</v>
      </c>
      <c r="D29" s="140">
        <f t="shared" si="16"/>
        <v>0</v>
      </c>
      <c r="E29" s="124">
        <v>3</v>
      </c>
      <c r="F29" s="124">
        <v>2</v>
      </c>
      <c r="G29" s="124">
        <v>1</v>
      </c>
      <c r="H29" s="124">
        <v>3</v>
      </c>
      <c r="I29" s="124">
        <v>2</v>
      </c>
      <c r="J29" s="124">
        <v>1</v>
      </c>
      <c r="K29" s="124">
        <f t="shared" si="17"/>
        <v>3</v>
      </c>
      <c r="L29" s="124">
        <f t="shared" si="22"/>
        <v>2</v>
      </c>
      <c r="M29" s="124">
        <f t="shared" si="18"/>
        <v>1</v>
      </c>
      <c r="N29" s="124">
        <f t="shared" si="19"/>
        <v>0</v>
      </c>
      <c r="O29" s="124">
        <f t="shared" si="20"/>
        <v>0</v>
      </c>
      <c r="P29" s="124">
        <f t="shared" si="21"/>
        <v>0</v>
      </c>
      <c r="Q29" s="147"/>
      <c r="R29" s="117">
        <v>577</v>
      </c>
      <c r="S29" s="108">
        <v>577</v>
      </c>
      <c r="T29" s="108">
        <v>0</v>
      </c>
      <c r="U29" s="117">
        <v>1689</v>
      </c>
      <c r="V29" s="108">
        <v>1689</v>
      </c>
      <c r="W29" s="108">
        <v>0</v>
      </c>
    </row>
    <row r="30" ht="14.25" customHeight="1" spans="1:23">
      <c r="A30" s="71" t="s">
        <v>38</v>
      </c>
      <c r="B30" s="140">
        <f t="shared" si="14"/>
        <v>0</v>
      </c>
      <c r="C30" s="140">
        <f t="shared" si="15"/>
        <v>-2</v>
      </c>
      <c r="D30" s="140">
        <f t="shared" si="16"/>
        <v>2</v>
      </c>
      <c r="E30" s="124">
        <v>84</v>
      </c>
      <c r="F30" s="124">
        <v>58</v>
      </c>
      <c r="G30" s="124">
        <v>26</v>
      </c>
      <c r="H30" s="124">
        <v>48</v>
      </c>
      <c r="I30" s="124">
        <v>32</v>
      </c>
      <c r="J30" s="124">
        <v>16</v>
      </c>
      <c r="K30" s="124">
        <f t="shared" si="17"/>
        <v>84</v>
      </c>
      <c r="L30" s="124">
        <f t="shared" si="22"/>
        <v>56</v>
      </c>
      <c r="M30" s="124">
        <f t="shared" si="18"/>
        <v>28</v>
      </c>
      <c r="N30" s="124">
        <f t="shared" si="19"/>
        <v>36</v>
      </c>
      <c r="O30" s="124">
        <f t="shared" si="20"/>
        <v>24</v>
      </c>
      <c r="P30" s="124">
        <f t="shared" si="21"/>
        <v>12</v>
      </c>
      <c r="Q30" s="147"/>
      <c r="R30" s="117">
        <v>17957</v>
      </c>
      <c r="S30" s="108">
        <v>17795</v>
      </c>
      <c r="T30" s="108">
        <v>929</v>
      </c>
      <c r="U30" s="117">
        <v>31355</v>
      </c>
      <c r="V30" s="108">
        <v>31261</v>
      </c>
      <c r="W30" s="108">
        <v>184</v>
      </c>
    </row>
    <row r="31" s="44" customFormat="1" ht="14.25" customHeight="1" spans="1:23">
      <c r="A31" s="74" t="s">
        <v>39</v>
      </c>
      <c r="B31" s="140">
        <f t="shared" si="14"/>
        <v>1</v>
      </c>
      <c r="C31" s="140">
        <f t="shared" si="15"/>
        <v>0</v>
      </c>
      <c r="D31" s="140">
        <f t="shared" si="16"/>
        <v>1</v>
      </c>
      <c r="E31" s="124">
        <v>66</v>
      </c>
      <c r="F31" s="124">
        <v>45</v>
      </c>
      <c r="G31" s="124">
        <v>21</v>
      </c>
      <c r="H31" s="142">
        <v>77</v>
      </c>
      <c r="I31" s="142">
        <v>51</v>
      </c>
      <c r="J31" s="142">
        <v>26</v>
      </c>
      <c r="K31" s="142">
        <f t="shared" si="17"/>
        <v>67</v>
      </c>
      <c r="L31" s="142">
        <f t="shared" si="22"/>
        <v>45</v>
      </c>
      <c r="M31" s="142">
        <f t="shared" si="18"/>
        <v>22</v>
      </c>
      <c r="N31" s="142">
        <f t="shared" si="19"/>
        <v>-10</v>
      </c>
      <c r="O31" s="142">
        <f t="shared" si="20"/>
        <v>-6</v>
      </c>
      <c r="P31" s="142">
        <f t="shared" si="21"/>
        <v>-4</v>
      </c>
      <c r="Q31" s="147"/>
      <c r="R31" s="117">
        <v>9175</v>
      </c>
      <c r="S31" s="108">
        <v>9118</v>
      </c>
      <c r="T31" s="108">
        <v>1705</v>
      </c>
      <c r="U31" s="117">
        <v>15176</v>
      </c>
      <c r="V31" s="108">
        <v>15070</v>
      </c>
      <c r="W31" s="108">
        <v>3</v>
      </c>
    </row>
    <row r="32" ht="14.25" customHeight="1" spans="1:23">
      <c r="A32" s="75" t="s">
        <v>40</v>
      </c>
      <c r="B32" s="140">
        <f t="shared" si="14"/>
        <v>14</v>
      </c>
      <c r="C32" s="140">
        <f t="shared" si="15"/>
        <v>6</v>
      </c>
      <c r="D32" s="140">
        <f t="shared" si="16"/>
        <v>8</v>
      </c>
      <c r="E32" s="124">
        <v>170</v>
      </c>
      <c r="F32" s="124">
        <v>117</v>
      </c>
      <c r="G32" s="124">
        <v>53</v>
      </c>
      <c r="H32" s="142">
        <v>229</v>
      </c>
      <c r="I32" s="142">
        <v>153</v>
      </c>
      <c r="J32" s="142">
        <v>76</v>
      </c>
      <c r="K32" s="142">
        <f t="shared" si="17"/>
        <v>184</v>
      </c>
      <c r="L32" s="142">
        <f t="shared" si="22"/>
        <v>123</v>
      </c>
      <c r="M32" s="142">
        <f t="shared" si="18"/>
        <v>61</v>
      </c>
      <c r="N32" s="142">
        <f t="shared" si="19"/>
        <v>-45</v>
      </c>
      <c r="O32" s="142">
        <f t="shared" si="20"/>
        <v>-30</v>
      </c>
      <c r="P32" s="142">
        <f t="shared" si="21"/>
        <v>-15</v>
      </c>
      <c r="Q32" s="146" t="s">
        <v>137</v>
      </c>
      <c r="R32" s="117">
        <v>28490</v>
      </c>
      <c r="S32" s="108">
        <v>26162</v>
      </c>
      <c r="T32" s="108">
        <v>3830</v>
      </c>
      <c r="U32" s="117">
        <v>52033</v>
      </c>
      <c r="V32" s="108">
        <v>50313</v>
      </c>
      <c r="W32" s="108">
        <v>68</v>
      </c>
    </row>
    <row r="33" ht="14.25" customHeight="1" spans="1:23">
      <c r="A33" s="75" t="s">
        <v>41</v>
      </c>
      <c r="B33" s="140">
        <f t="shared" si="14"/>
        <v>170</v>
      </c>
      <c r="C33" s="140">
        <f t="shared" si="15"/>
        <v>105</v>
      </c>
      <c r="D33" s="140">
        <f t="shared" si="16"/>
        <v>65</v>
      </c>
      <c r="E33" s="124">
        <v>324</v>
      </c>
      <c r="F33" s="124">
        <v>224</v>
      </c>
      <c r="G33" s="124">
        <v>100</v>
      </c>
      <c r="H33" s="124">
        <v>327</v>
      </c>
      <c r="I33" s="124">
        <v>218</v>
      </c>
      <c r="J33" s="124">
        <v>109</v>
      </c>
      <c r="K33" s="124">
        <f t="shared" si="17"/>
        <v>494</v>
      </c>
      <c r="L33" s="124">
        <f t="shared" si="22"/>
        <v>329</v>
      </c>
      <c r="M33" s="124">
        <f t="shared" si="18"/>
        <v>165</v>
      </c>
      <c r="N33" s="124">
        <f t="shared" si="19"/>
        <v>167</v>
      </c>
      <c r="O33" s="124">
        <f t="shared" si="20"/>
        <v>111</v>
      </c>
      <c r="P33" s="124">
        <f t="shared" si="21"/>
        <v>56</v>
      </c>
      <c r="Q33" s="146" t="s">
        <v>137</v>
      </c>
      <c r="R33" s="117">
        <v>29462</v>
      </c>
      <c r="S33" s="108">
        <v>19216</v>
      </c>
      <c r="T33" s="108">
        <v>17649</v>
      </c>
      <c r="U33" s="117">
        <v>49022</v>
      </c>
      <c r="V33" s="108">
        <v>49022</v>
      </c>
      <c r="W33" s="108">
        <v>491</v>
      </c>
    </row>
    <row r="34" ht="14.25" customHeight="1" spans="1:23">
      <c r="A34" s="75" t="s">
        <v>42</v>
      </c>
      <c r="B34" s="140">
        <f t="shared" si="14"/>
        <v>149</v>
      </c>
      <c r="C34" s="140">
        <f t="shared" si="15"/>
        <v>95</v>
      </c>
      <c r="D34" s="140">
        <f t="shared" si="16"/>
        <v>54</v>
      </c>
      <c r="E34" s="124">
        <v>166</v>
      </c>
      <c r="F34" s="124">
        <v>115</v>
      </c>
      <c r="G34" s="124">
        <v>51</v>
      </c>
      <c r="H34" s="124">
        <v>249</v>
      </c>
      <c r="I34" s="124">
        <v>166</v>
      </c>
      <c r="J34" s="124">
        <v>83</v>
      </c>
      <c r="K34" s="124">
        <f t="shared" si="17"/>
        <v>315</v>
      </c>
      <c r="L34" s="124">
        <f t="shared" si="22"/>
        <v>210</v>
      </c>
      <c r="M34" s="124">
        <f t="shared" si="18"/>
        <v>105</v>
      </c>
      <c r="N34" s="124">
        <f t="shared" si="19"/>
        <v>66</v>
      </c>
      <c r="O34" s="124">
        <f t="shared" si="20"/>
        <v>44</v>
      </c>
      <c r="P34" s="124">
        <f t="shared" si="21"/>
        <v>22</v>
      </c>
      <c r="Q34" s="146" t="s">
        <v>137</v>
      </c>
      <c r="R34" s="117">
        <v>23477</v>
      </c>
      <c r="S34" s="108">
        <v>22352</v>
      </c>
      <c r="T34" s="108">
        <v>8722</v>
      </c>
      <c r="U34" s="117">
        <v>39576</v>
      </c>
      <c r="V34" s="108">
        <v>38527</v>
      </c>
      <c r="W34" s="108">
        <v>2519</v>
      </c>
    </row>
    <row r="35" ht="14.25" customHeight="1" spans="1:23">
      <c r="A35" s="76" t="s">
        <v>44</v>
      </c>
      <c r="B35" s="110">
        <f>SUM(B36:B42)</f>
        <v>5</v>
      </c>
      <c r="C35" s="110">
        <f>SUM(C36:C42)</f>
        <v>-1</v>
      </c>
      <c r="D35" s="110">
        <f>SUM(D36:D42)</f>
        <v>6</v>
      </c>
      <c r="E35" s="110">
        <v>177</v>
      </c>
      <c r="F35" s="110">
        <v>122</v>
      </c>
      <c r="G35" s="110">
        <v>55</v>
      </c>
      <c r="H35" s="110">
        <v>85</v>
      </c>
      <c r="I35" s="110">
        <v>57</v>
      </c>
      <c r="J35" s="110">
        <v>28</v>
      </c>
      <c r="K35" s="110">
        <f t="shared" ref="K35:P35" si="23">SUM(K36:K42)</f>
        <v>182</v>
      </c>
      <c r="L35" s="110">
        <f t="shared" si="23"/>
        <v>121</v>
      </c>
      <c r="M35" s="110">
        <f t="shared" si="23"/>
        <v>61</v>
      </c>
      <c r="N35" s="110">
        <f t="shared" si="23"/>
        <v>97</v>
      </c>
      <c r="O35" s="110">
        <f t="shared" si="23"/>
        <v>64</v>
      </c>
      <c r="P35" s="110">
        <f t="shared" si="23"/>
        <v>33</v>
      </c>
      <c r="Q35" s="146" t="s">
        <v>137</v>
      </c>
      <c r="R35" s="110">
        <f t="shared" ref="R35:W35" si="24">SUM(R36:R42)</f>
        <v>37737</v>
      </c>
      <c r="S35" s="110">
        <f t="shared" si="24"/>
        <v>33626</v>
      </c>
      <c r="T35" s="110">
        <f t="shared" si="24"/>
        <v>1906</v>
      </c>
      <c r="U35" s="110">
        <f t="shared" si="24"/>
        <v>76887</v>
      </c>
      <c r="V35" s="110">
        <f t="shared" si="24"/>
        <v>70562</v>
      </c>
      <c r="W35" s="110">
        <f t="shared" si="24"/>
        <v>1</v>
      </c>
    </row>
    <row r="36" ht="14.25" customHeight="1" spans="1:23">
      <c r="A36" s="71" t="s">
        <v>26</v>
      </c>
      <c r="B36" s="140">
        <f t="shared" ref="B36:B47" si="25">C36+D36</f>
        <v>5</v>
      </c>
      <c r="C36" s="140">
        <f t="shared" ref="C36:C47" si="26">L36-F36</f>
        <v>2</v>
      </c>
      <c r="D36" s="140">
        <f t="shared" ref="D36:D47" si="27">M36-G36</f>
        <v>3</v>
      </c>
      <c r="E36" s="124">
        <v>49</v>
      </c>
      <c r="F36" s="124">
        <v>34</v>
      </c>
      <c r="G36" s="124">
        <v>15</v>
      </c>
      <c r="H36" s="124">
        <v>16</v>
      </c>
      <c r="I36" s="124">
        <v>11</v>
      </c>
      <c r="J36" s="124">
        <v>5</v>
      </c>
      <c r="K36" s="124">
        <f t="shared" ref="K36:K47" si="28">SUM(L36:M36)</f>
        <v>54</v>
      </c>
      <c r="L36" s="124">
        <f t="shared" ref="L36:L47" si="29">ROUND((T36*1250+W36*1000)*25%*0.5/10000,0)+ROUND(((R36-T36)*1250*50%*3%+(U36-W36)*1000*50%*3%)*0.5/10000,0)</f>
        <v>36</v>
      </c>
      <c r="M36" s="124">
        <f t="shared" ref="M36:M47" si="30">ROUND((T36*1250+W36*1000)*25%*0.25/10000,0)+ROUND(((R36-T36)*1250*50%*3%+(U36-W36)*1000*50%*3%)*0.25/10000,0)</f>
        <v>18</v>
      </c>
      <c r="N36" s="124">
        <f t="shared" ref="N36:N47" si="31">O36+P36</f>
        <v>38</v>
      </c>
      <c r="O36" s="124">
        <f t="shared" ref="O36:O47" si="32">L36-I36</f>
        <v>25</v>
      </c>
      <c r="P36" s="124">
        <f t="shared" ref="P36:P47" si="33">M36-J36</f>
        <v>13</v>
      </c>
      <c r="Q36" s="147"/>
      <c r="R36" s="117">
        <v>16549</v>
      </c>
      <c r="S36" s="108">
        <v>12438</v>
      </c>
      <c r="T36" s="108">
        <v>505</v>
      </c>
      <c r="U36" s="117">
        <v>16857</v>
      </c>
      <c r="V36" s="108">
        <v>12282</v>
      </c>
      <c r="W36" s="108">
        <v>0</v>
      </c>
    </row>
    <row r="37" ht="14.25" customHeight="1" spans="1:23">
      <c r="A37" s="71" t="s">
        <v>45</v>
      </c>
      <c r="B37" s="140">
        <f t="shared" si="25"/>
        <v>-2</v>
      </c>
      <c r="C37" s="140">
        <f t="shared" si="26"/>
        <v>-2</v>
      </c>
      <c r="D37" s="140">
        <f t="shared" si="27"/>
        <v>0</v>
      </c>
      <c r="E37" s="124">
        <v>47</v>
      </c>
      <c r="F37" s="124">
        <v>32</v>
      </c>
      <c r="G37" s="124">
        <v>15</v>
      </c>
      <c r="H37" s="124">
        <v>29</v>
      </c>
      <c r="I37" s="124">
        <v>19</v>
      </c>
      <c r="J37" s="124">
        <v>10</v>
      </c>
      <c r="K37" s="124">
        <f t="shared" si="28"/>
        <v>45</v>
      </c>
      <c r="L37" s="124">
        <f t="shared" si="29"/>
        <v>30</v>
      </c>
      <c r="M37" s="124">
        <f t="shared" si="30"/>
        <v>15</v>
      </c>
      <c r="N37" s="124">
        <f t="shared" si="31"/>
        <v>16</v>
      </c>
      <c r="O37" s="124">
        <f t="shared" si="32"/>
        <v>11</v>
      </c>
      <c r="P37" s="124">
        <f t="shared" si="33"/>
        <v>5</v>
      </c>
      <c r="Q37" s="147"/>
      <c r="R37" s="117">
        <v>5811</v>
      </c>
      <c r="S37" s="108">
        <v>5811</v>
      </c>
      <c r="T37" s="108">
        <v>700</v>
      </c>
      <c r="U37" s="117">
        <v>19360</v>
      </c>
      <c r="V37" s="108">
        <v>19360</v>
      </c>
      <c r="W37" s="108">
        <v>1</v>
      </c>
    </row>
    <row r="38" ht="14.25" customHeight="1" spans="1:23">
      <c r="A38" s="71" t="s">
        <v>46</v>
      </c>
      <c r="B38" s="140">
        <f t="shared" si="25"/>
        <v>1</v>
      </c>
      <c r="C38" s="140">
        <f t="shared" si="26"/>
        <v>0</v>
      </c>
      <c r="D38" s="140">
        <f t="shared" si="27"/>
        <v>1</v>
      </c>
      <c r="E38" s="124">
        <v>20</v>
      </c>
      <c r="F38" s="124">
        <v>14</v>
      </c>
      <c r="G38" s="124">
        <v>6</v>
      </c>
      <c r="H38" s="124">
        <v>12</v>
      </c>
      <c r="I38" s="124">
        <v>8</v>
      </c>
      <c r="J38" s="124">
        <v>4</v>
      </c>
      <c r="K38" s="124">
        <f t="shared" si="28"/>
        <v>21</v>
      </c>
      <c r="L38" s="124">
        <f t="shared" si="29"/>
        <v>14</v>
      </c>
      <c r="M38" s="124">
        <f t="shared" si="30"/>
        <v>7</v>
      </c>
      <c r="N38" s="124">
        <f t="shared" si="31"/>
        <v>9</v>
      </c>
      <c r="O38" s="124">
        <f t="shared" si="32"/>
        <v>6</v>
      </c>
      <c r="P38" s="124">
        <f t="shared" si="33"/>
        <v>3</v>
      </c>
      <c r="Q38" s="147"/>
      <c r="R38" s="117">
        <v>3689</v>
      </c>
      <c r="S38" s="108">
        <v>3689</v>
      </c>
      <c r="T38" s="108">
        <v>230</v>
      </c>
      <c r="U38" s="117">
        <v>8370</v>
      </c>
      <c r="V38" s="108">
        <v>8370</v>
      </c>
      <c r="W38" s="108">
        <v>0</v>
      </c>
    </row>
    <row r="39" ht="14.25" customHeight="1" spans="1:23">
      <c r="A39" s="71" t="s">
        <v>47</v>
      </c>
      <c r="B39" s="140">
        <f t="shared" si="25"/>
        <v>0</v>
      </c>
      <c r="C39" s="140">
        <f t="shared" si="26"/>
        <v>-1</v>
      </c>
      <c r="D39" s="140">
        <f t="shared" si="27"/>
        <v>1</v>
      </c>
      <c r="E39" s="124">
        <v>38</v>
      </c>
      <c r="F39" s="124">
        <v>26</v>
      </c>
      <c r="G39" s="124">
        <v>12</v>
      </c>
      <c r="H39" s="124">
        <v>18</v>
      </c>
      <c r="I39" s="124">
        <v>12</v>
      </c>
      <c r="J39" s="124">
        <v>6</v>
      </c>
      <c r="K39" s="124">
        <f t="shared" si="28"/>
        <v>38</v>
      </c>
      <c r="L39" s="124">
        <f t="shared" si="29"/>
        <v>25</v>
      </c>
      <c r="M39" s="124">
        <f t="shared" si="30"/>
        <v>13</v>
      </c>
      <c r="N39" s="124">
        <f t="shared" si="31"/>
        <v>20</v>
      </c>
      <c r="O39" s="124">
        <f t="shared" si="32"/>
        <v>13</v>
      </c>
      <c r="P39" s="124">
        <f t="shared" si="33"/>
        <v>7</v>
      </c>
      <c r="Q39" s="147"/>
      <c r="R39" s="117">
        <v>6402</v>
      </c>
      <c r="S39" s="108">
        <v>6402</v>
      </c>
      <c r="T39" s="108">
        <v>327</v>
      </c>
      <c r="U39" s="117">
        <v>19230</v>
      </c>
      <c r="V39" s="108">
        <v>17480</v>
      </c>
      <c r="W39" s="108">
        <v>0</v>
      </c>
    </row>
    <row r="40" ht="14.25" customHeight="1" spans="1:23">
      <c r="A40" s="71" t="s">
        <v>32</v>
      </c>
      <c r="B40" s="140">
        <f t="shared" si="25"/>
        <v>0</v>
      </c>
      <c r="C40" s="140">
        <f t="shared" si="26"/>
        <v>0</v>
      </c>
      <c r="D40" s="140">
        <f t="shared" si="27"/>
        <v>0</v>
      </c>
      <c r="E40" s="124">
        <v>3</v>
      </c>
      <c r="F40" s="124">
        <v>2</v>
      </c>
      <c r="G40" s="124">
        <v>1</v>
      </c>
      <c r="H40" s="124">
        <v>0</v>
      </c>
      <c r="I40" s="124">
        <v>0</v>
      </c>
      <c r="J40" s="124">
        <v>0</v>
      </c>
      <c r="K40" s="124">
        <f t="shared" si="28"/>
        <v>3</v>
      </c>
      <c r="L40" s="124">
        <f t="shared" si="29"/>
        <v>2</v>
      </c>
      <c r="M40" s="124">
        <f t="shared" si="30"/>
        <v>1</v>
      </c>
      <c r="N40" s="124">
        <f t="shared" si="31"/>
        <v>3</v>
      </c>
      <c r="O40" s="124">
        <f t="shared" si="32"/>
        <v>2</v>
      </c>
      <c r="P40" s="124">
        <f t="shared" si="33"/>
        <v>1</v>
      </c>
      <c r="Q40" s="147"/>
      <c r="R40" s="117">
        <v>1684</v>
      </c>
      <c r="S40" s="108">
        <v>1684</v>
      </c>
      <c r="T40" s="108">
        <v>0</v>
      </c>
      <c r="U40" s="117">
        <v>626</v>
      </c>
      <c r="V40" s="108">
        <v>626</v>
      </c>
      <c r="W40" s="108">
        <v>0</v>
      </c>
    </row>
    <row r="41" ht="14.25" customHeight="1" spans="1:23">
      <c r="A41" s="71" t="s">
        <v>33</v>
      </c>
      <c r="B41" s="140">
        <f t="shared" si="25"/>
        <v>0</v>
      </c>
      <c r="C41" s="140">
        <f t="shared" si="26"/>
        <v>0</v>
      </c>
      <c r="D41" s="140">
        <f t="shared" si="27"/>
        <v>0</v>
      </c>
      <c r="E41" s="124">
        <v>3</v>
      </c>
      <c r="F41" s="124">
        <v>2</v>
      </c>
      <c r="G41" s="124">
        <v>1</v>
      </c>
      <c r="H41" s="124">
        <v>1</v>
      </c>
      <c r="I41" s="124">
        <v>1</v>
      </c>
      <c r="J41" s="124">
        <v>0</v>
      </c>
      <c r="K41" s="124">
        <f t="shared" si="28"/>
        <v>3</v>
      </c>
      <c r="L41" s="124">
        <f t="shared" si="29"/>
        <v>2</v>
      </c>
      <c r="M41" s="124">
        <f t="shared" si="30"/>
        <v>1</v>
      </c>
      <c r="N41" s="124">
        <f t="shared" si="31"/>
        <v>2</v>
      </c>
      <c r="O41" s="124">
        <f t="shared" si="32"/>
        <v>1</v>
      </c>
      <c r="P41" s="124">
        <f t="shared" si="33"/>
        <v>1</v>
      </c>
      <c r="Q41" s="147"/>
      <c r="R41" s="117">
        <v>784</v>
      </c>
      <c r="S41" s="108">
        <v>784</v>
      </c>
      <c r="T41" s="108">
        <v>0</v>
      </c>
      <c r="U41" s="117">
        <v>1809</v>
      </c>
      <c r="V41" s="108">
        <v>1809</v>
      </c>
      <c r="W41" s="108">
        <v>0</v>
      </c>
    </row>
    <row r="42" ht="14.25" customHeight="1" spans="1:23">
      <c r="A42" s="71" t="s">
        <v>48</v>
      </c>
      <c r="B42" s="140">
        <f t="shared" si="25"/>
        <v>1</v>
      </c>
      <c r="C42" s="140">
        <f t="shared" si="26"/>
        <v>0</v>
      </c>
      <c r="D42" s="140">
        <f t="shared" si="27"/>
        <v>1</v>
      </c>
      <c r="E42" s="124">
        <v>17</v>
      </c>
      <c r="F42" s="124">
        <v>12</v>
      </c>
      <c r="G42" s="124">
        <v>5</v>
      </c>
      <c r="H42" s="124">
        <v>9</v>
      </c>
      <c r="I42" s="124">
        <v>6</v>
      </c>
      <c r="J42" s="124">
        <v>3</v>
      </c>
      <c r="K42" s="124">
        <f t="shared" si="28"/>
        <v>18</v>
      </c>
      <c r="L42" s="124">
        <f t="shared" si="29"/>
        <v>12</v>
      </c>
      <c r="M42" s="124">
        <f t="shared" si="30"/>
        <v>6</v>
      </c>
      <c r="N42" s="124">
        <f t="shared" si="31"/>
        <v>9</v>
      </c>
      <c r="O42" s="124">
        <f t="shared" si="32"/>
        <v>6</v>
      </c>
      <c r="P42" s="124">
        <f t="shared" si="33"/>
        <v>3</v>
      </c>
      <c r="Q42" s="147"/>
      <c r="R42" s="117">
        <v>2818</v>
      </c>
      <c r="S42" s="108">
        <v>2818</v>
      </c>
      <c r="T42" s="108">
        <v>144</v>
      </c>
      <c r="U42" s="117">
        <v>10635</v>
      </c>
      <c r="V42" s="108">
        <v>10635</v>
      </c>
      <c r="W42" s="108">
        <v>0</v>
      </c>
    </row>
    <row r="43" ht="14.25" customHeight="1" spans="1:23">
      <c r="A43" s="75" t="s">
        <v>49</v>
      </c>
      <c r="B43" s="140">
        <f t="shared" si="25"/>
        <v>0</v>
      </c>
      <c r="C43" s="140">
        <f t="shared" si="26"/>
        <v>-1</v>
      </c>
      <c r="D43" s="140">
        <f t="shared" si="27"/>
        <v>1</v>
      </c>
      <c r="E43" s="124">
        <v>45</v>
      </c>
      <c r="F43" s="124">
        <v>31</v>
      </c>
      <c r="G43" s="124">
        <v>14</v>
      </c>
      <c r="H43" s="142">
        <v>51</v>
      </c>
      <c r="I43" s="142">
        <v>34</v>
      </c>
      <c r="J43" s="142">
        <v>17</v>
      </c>
      <c r="K43" s="142">
        <f t="shared" si="28"/>
        <v>45</v>
      </c>
      <c r="L43" s="142">
        <f t="shared" si="29"/>
        <v>30</v>
      </c>
      <c r="M43" s="142">
        <f t="shared" si="30"/>
        <v>15</v>
      </c>
      <c r="N43" s="142">
        <f t="shared" si="31"/>
        <v>-6</v>
      </c>
      <c r="O43" s="142">
        <f t="shared" si="32"/>
        <v>-4</v>
      </c>
      <c r="P43" s="142">
        <f t="shared" si="33"/>
        <v>-2</v>
      </c>
      <c r="Q43" s="146" t="s">
        <v>137</v>
      </c>
      <c r="R43" s="117">
        <v>6853</v>
      </c>
      <c r="S43" s="108">
        <v>6853</v>
      </c>
      <c r="T43" s="108">
        <v>890</v>
      </c>
      <c r="U43" s="117">
        <v>13559</v>
      </c>
      <c r="V43" s="108">
        <v>13559</v>
      </c>
      <c r="W43" s="108">
        <v>0</v>
      </c>
    </row>
    <row r="44" ht="14.25" customHeight="1" spans="1:23">
      <c r="A44" s="75" t="s">
        <v>50</v>
      </c>
      <c r="B44" s="140">
        <f t="shared" si="25"/>
        <v>-9</v>
      </c>
      <c r="C44" s="140">
        <f t="shared" si="26"/>
        <v>-8</v>
      </c>
      <c r="D44" s="140">
        <f t="shared" si="27"/>
        <v>-1</v>
      </c>
      <c r="E44" s="124">
        <v>78</v>
      </c>
      <c r="F44" s="124">
        <v>54</v>
      </c>
      <c r="G44" s="124">
        <v>24</v>
      </c>
      <c r="H44" s="124">
        <v>60</v>
      </c>
      <c r="I44" s="124">
        <v>40</v>
      </c>
      <c r="J44" s="124">
        <v>20</v>
      </c>
      <c r="K44" s="124">
        <f t="shared" si="28"/>
        <v>69</v>
      </c>
      <c r="L44" s="124">
        <f t="shared" si="29"/>
        <v>46</v>
      </c>
      <c r="M44" s="124">
        <f t="shared" si="30"/>
        <v>23</v>
      </c>
      <c r="N44" s="124">
        <f t="shared" si="31"/>
        <v>9</v>
      </c>
      <c r="O44" s="124">
        <f t="shared" si="32"/>
        <v>6</v>
      </c>
      <c r="P44" s="124">
        <f t="shared" si="33"/>
        <v>3</v>
      </c>
      <c r="Q44" s="146" t="s">
        <v>137</v>
      </c>
      <c r="R44" s="117">
        <v>10076</v>
      </c>
      <c r="S44" s="108">
        <v>10076</v>
      </c>
      <c r="T44" s="108">
        <v>1652</v>
      </c>
      <c r="U44" s="117">
        <v>15133</v>
      </c>
      <c r="V44" s="108">
        <v>15133</v>
      </c>
      <c r="W44" s="108">
        <v>62</v>
      </c>
    </row>
    <row r="45" ht="14.25" customHeight="1" spans="1:23">
      <c r="A45" s="75" t="s">
        <v>51</v>
      </c>
      <c r="B45" s="140">
        <f t="shared" si="25"/>
        <v>-10</v>
      </c>
      <c r="C45" s="140">
        <f t="shared" si="26"/>
        <v>-11</v>
      </c>
      <c r="D45" s="140">
        <f t="shared" si="27"/>
        <v>1</v>
      </c>
      <c r="E45" s="124">
        <v>197</v>
      </c>
      <c r="F45" s="124">
        <v>136</v>
      </c>
      <c r="G45" s="124">
        <v>61</v>
      </c>
      <c r="H45" s="124">
        <v>171</v>
      </c>
      <c r="I45" s="124">
        <v>114</v>
      </c>
      <c r="J45" s="124">
        <v>57</v>
      </c>
      <c r="K45" s="124">
        <f t="shared" si="28"/>
        <v>187</v>
      </c>
      <c r="L45" s="124">
        <f t="shared" si="29"/>
        <v>125</v>
      </c>
      <c r="M45" s="124">
        <f t="shared" si="30"/>
        <v>62</v>
      </c>
      <c r="N45" s="124">
        <f t="shared" si="31"/>
        <v>16</v>
      </c>
      <c r="O45" s="124">
        <f t="shared" si="32"/>
        <v>11</v>
      </c>
      <c r="P45" s="124">
        <f t="shared" si="33"/>
        <v>5</v>
      </c>
      <c r="Q45" s="146" t="s">
        <v>137</v>
      </c>
      <c r="R45" s="117">
        <v>11642</v>
      </c>
      <c r="S45" s="108">
        <v>11642</v>
      </c>
      <c r="T45" s="108">
        <v>4940</v>
      </c>
      <c r="U45" s="117">
        <v>18939</v>
      </c>
      <c r="V45" s="108">
        <v>18939</v>
      </c>
      <c r="W45" s="108">
        <v>2288</v>
      </c>
    </row>
    <row r="46" ht="14.25" customHeight="1" spans="1:23">
      <c r="A46" s="75" t="s">
        <v>52</v>
      </c>
      <c r="B46" s="140">
        <f t="shared" si="25"/>
        <v>1</v>
      </c>
      <c r="C46" s="140">
        <f t="shared" si="26"/>
        <v>-4</v>
      </c>
      <c r="D46" s="140">
        <f t="shared" si="27"/>
        <v>5</v>
      </c>
      <c r="E46" s="124">
        <v>172</v>
      </c>
      <c r="F46" s="124">
        <v>119</v>
      </c>
      <c r="G46" s="124">
        <v>53</v>
      </c>
      <c r="H46" s="124">
        <v>170</v>
      </c>
      <c r="I46" s="124">
        <v>113</v>
      </c>
      <c r="J46" s="124">
        <v>57</v>
      </c>
      <c r="K46" s="124">
        <f t="shared" si="28"/>
        <v>173</v>
      </c>
      <c r="L46" s="124">
        <f t="shared" si="29"/>
        <v>115</v>
      </c>
      <c r="M46" s="124">
        <f t="shared" si="30"/>
        <v>58</v>
      </c>
      <c r="N46" s="124">
        <f t="shared" si="31"/>
        <v>3</v>
      </c>
      <c r="O46" s="124">
        <f t="shared" si="32"/>
        <v>2</v>
      </c>
      <c r="P46" s="124">
        <f t="shared" si="33"/>
        <v>1</v>
      </c>
      <c r="Q46" s="146" t="s">
        <v>137</v>
      </c>
      <c r="R46" s="117">
        <v>13020</v>
      </c>
      <c r="S46" s="108">
        <v>13020</v>
      </c>
      <c r="T46" s="108">
        <v>5874</v>
      </c>
      <c r="U46" s="117">
        <v>22012</v>
      </c>
      <c r="V46" s="108">
        <v>22012</v>
      </c>
      <c r="W46" s="108">
        <v>9</v>
      </c>
    </row>
    <row r="47" ht="14.25" customHeight="1" spans="1:23">
      <c r="A47" s="75" t="s">
        <v>53</v>
      </c>
      <c r="B47" s="140">
        <f t="shared" si="25"/>
        <v>-4</v>
      </c>
      <c r="C47" s="140">
        <f t="shared" si="26"/>
        <v>-6</v>
      </c>
      <c r="D47" s="140">
        <f t="shared" si="27"/>
        <v>2</v>
      </c>
      <c r="E47" s="124">
        <v>161</v>
      </c>
      <c r="F47" s="124">
        <v>111</v>
      </c>
      <c r="G47" s="124">
        <v>50</v>
      </c>
      <c r="H47" s="124">
        <v>143</v>
      </c>
      <c r="I47" s="124">
        <v>95</v>
      </c>
      <c r="J47" s="124">
        <v>48</v>
      </c>
      <c r="K47" s="124">
        <f t="shared" si="28"/>
        <v>157</v>
      </c>
      <c r="L47" s="124">
        <f t="shared" si="29"/>
        <v>105</v>
      </c>
      <c r="M47" s="124">
        <f t="shared" si="30"/>
        <v>52</v>
      </c>
      <c r="N47" s="124">
        <f t="shared" si="31"/>
        <v>14</v>
      </c>
      <c r="O47" s="124">
        <f t="shared" si="32"/>
        <v>10</v>
      </c>
      <c r="P47" s="124">
        <f t="shared" si="33"/>
        <v>4</v>
      </c>
      <c r="Q47" s="146" t="s">
        <v>137</v>
      </c>
      <c r="R47" s="117">
        <v>10778</v>
      </c>
      <c r="S47" s="108">
        <v>10778</v>
      </c>
      <c r="T47" s="108">
        <v>4459</v>
      </c>
      <c r="U47" s="117">
        <v>20495</v>
      </c>
      <c r="V47" s="108">
        <v>20495</v>
      </c>
      <c r="W47" s="108">
        <v>1187</v>
      </c>
    </row>
    <row r="48" ht="14.25" customHeight="1" spans="1:23">
      <c r="A48" s="76" t="s">
        <v>54</v>
      </c>
      <c r="B48" s="110">
        <f>SUM(B49:B51)</f>
        <v>6</v>
      </c>
      <c r="C48" s="110">
        <f>SUM(C49:C51)</f>
        <v>3</v>
      </c>
      <c r="D48" s="110">
        <f>SUM(D49:D51)</f>
        <v>3</v>
      </c>
      <c r="E48" s="110">
        <v>68</v>
      </c>
      <c r="F48" s="110">
        <v>47</v>
      </c>
      <c r="G48" s="110">
        <v>21</v>
      </c>
      <c r="H48" s="110">
        <v>21</v>
      </c>
      <c r="I48" s="110">
        <v>14</v>
      </c>
      <c r="J48" s="110">
        <v>7</v>
      </c>
      <c r="K48" s="110">
        <f t="shared" ref="K48:P48" si="34">SUM(K49:K51)</f>
        <v>74</v>
      </c>
      <c r="L48" s="110">
        <f t="shared" si="34"/>
        <v>50</v>
      </c>
      <c r="M48" s="110">
        <f t="shared" si="34"/>
        <v>24</v>
      </c>
      <c r="N48" s="110">
        <f t="shared" si="34"/>
        <v>53</v>
      </c>
      <c r="O48" s="110">
        <f t="shared" si="34"/>
        <v>36</v>
      </c>
      <c r="P48" s="110">
        <f t="shared" si="34"/>
        <v>17</v>
      </c>
      <c r="Q48" s="146" t="s">
        <v>137</v>
      </c>
      <c r="R48" s="110">
        <f t="shared" ref="R48:W48" si="35">SUM(R49:R51)</f>
        <v>15863</v>
      </c>
      <c r="S48" s="110">
        <f t="shared" si="35"/>
        <v>14025</v>
      </c>
      <c r="T48" s="110">
        <f t="shared" si="35"/>
        <v>1059</v>
      </c>
      <c r="U48" s="110">
        <f t="shared" si="35"/>
        <v>25654</v>
      </c>
      <c r="V48" s="110">
        <f t="shared" si="35"/>
        <v>23829</v>
      </c>
      <c r="W48" s="110">
        <f t="shared" si="35"/>
        <v>7</v>
      </c>
    </row>
    <row r="49" ht="14.25" customHeight="1" spans="1:23">
      <c r="A49" s="71" t="s">
        <v>26</v>
      </c>
      <c r="B49" s="140">
        <f>C49+D49</f>
        <v>0</v>
      </c>
      <c r="C49" s="140">
        <f>L49-F49</f>
        <v>0</v>
      </c>
      <c r="D49" s="140">
        <f>M49-G49</f>
        <v>0</v>
      </c>
      <c r="E49" s="124"/>
      <c r="F49" s="124"/>
      <c r="G49" s="124"/>
      <c r="H49" s="124"/>
      <c r="I49" s="124"/>
      <c r="J49" s="124"/>
      <c r="K49" s="124">
        <f>SUM(L49:M49)</f>
        <v>0</v>
      </c>
      <c r="L49" s="124">
        <f>ROUND((T49*1250+W49*1000)*25%*0.5/10000,0)+ROUND(((R49-T49)*1250*50%*3%+(U49-W49)*1000*50%*3%)*0.5/10000,0)</f>
        <v>0</v>
      </c>
      <c r="M49" s="124">
        <f>ROUND((T49*1250+W49*1000)*25%*0.25/10000,0)+ROUND(((R49-T49)*1250*50%*3%+(U49-W49)*1000*50%*3%)*0.25/10000,0)</f>
        <v>0</v>
      </c>
      <c r="N49" s="124">
        <f>O49+P49</f>
        <v>0</v>
      </c>
      <c r="O49" s="124">
        <f>L49-I49</f>
        <v>0</v>
      </c>
      <c r="P49" s="124">
        <f>M49-J49</f>
        <v>0</v>
      </c>
      <c r="Q49" s="147"/>
      <c r="R49" s="117">
        <v>0</v>
      </c>
      <c r="S49" s="108">
        <v>0</v>
      </c>
      <c r="T49" s="108">
        <v>0</v>
      </c>
      <c r="U49" s="117">
        <v>0</v>
      </c>
      <c r="V49" s="108">
        <v>0</v>
      </c>
      <c r="W49" s="108">
        <v>0</v>
      </c>
    </row>
    <row r="50" ht="14.25" customHeight="1" spans="1:23">
      <c r="A50" s="71" t="s">
        <v>55</v>
      </c>
      <c r="B50" s="140">
        <f t="shared" ref="B49:B55" si="36">C50+D50</f>
        <v>8</v>
      </c>
      <c r="C50" s="140">
        <f t="shared" ref="C49:C55" si="37">L50-F50</f>
        <v>5</v>
      </c>
      <c r="D50" s="140">
        <f t="shared" ref="D49:D55" si="38">M50-G50</f>
        <v>3</v>
      </c>
      <c r="E50" s="124">
        <v>24</v>
      </c>
      <c r="F50" s="124">
        <v>17</v>
      </c>
      <c r="G50" s="124">
        <v>7</v>
      </c>
      <c r="H50" s="124">
        <v>3</v>
      </c>
      <c r="I50" s="124">
        <v>2</v>
      </c>
      <c r="J50" s="124">
        <v>1</v>
      </c>
      <c r="K50" s="124">
        <f t="shared" ref="K49:K55" si="39">SUM(L50:M50)</f>
        <v>32</v>
      </c>
      <c r="L50" s="124">
        <f t="shared" ref="L50:L55" si="40">ROUND((T50*1250+W50*1000)*25%*0.5/10000,0)+ROUND(((R50-T50)*1250*50%*3%+(U50-W50)*1000*50%*3%)*0.5/10000,0)</f>
        <v>22</v>
      </c>
      <c r="M50" s="124">
        <f t="shared" ref="M50:M55" si="41">ROUND((T50*1250+W50*1000)*25%*0.25/10000,0)+ROUND(((R50-T50)*1250*50%*3%+(U50-W50)*1000*50%*3%)*0.25/10000,0)</f>
        <v>10</v>
      </c>
      <c r="N50" s="124">
        <f t="shared" ref="N49:N55" si="42">O50+P50</f>
        <v>29</v>
      </c>
      <c r="O50" s="124">
        <f t="shared" ref="O49:O55" si="43">L50-I50</f>
        <v>20</v>
      </c>
      <c r="P50" s="124">
        <f t="shared" ref="P49:P55" si="44">M50-J50</f>
        <v>9</v>
      </c>
      <c r="Q50" s="147"/>
      <c r="R50" s="117">
        <v>7655</v>
      </c>
      <c r="S50" s="108">
        <v>5829</v>
      </c>
      <c r="T50" s="108">
        <v>297</v>
      </c>
      <c r="U50" s="117">
        <v>13110</v>
      </c>
      <c r="V50" s="108">
        <v>11293</v>
      </c>
      <c r="W50" s="108">
        <v>0</v>
      </c>
    </row>
    <row r="51" ht="14.25" customHeight="1" spans="1:23">
      <c r="A51" s="71" t="s">
        <v>56</v>
      </c>
      <c r="B51" s="140">
        <f t="shared" si="36"/>
        <v>-2</v>
      </c>
      <c r="C51" s="140">
        <f t="shared" si="37"/>
        <v>-2</v>
      </c>
      <c r="D51" s="140">
        <f t="shared" si="38"/>
        <v>0</v>
      </c>
      <c r="E51" s="124">
        <v>44</v>
      </c>
      <c r="F51" s="124">
        <v>30</v>
      </c>
      <c r="G51" s="124">
        <v>14</v>
      </c>
      <c r="H51" s="124">
        <v>18</v>
      </c>
      <c r="I51" s="124">
        <v>12</v>
      </c>
      <c r="J51" s="124">
        <v>6</v>
      </c>
      <c r="K51" s="124">
        <f t="shared" si="39"/>
        <v>42</v>
      </c>
      <c r="L51" s="124">
        <f t="shared" si="40"/>
        <v>28</v>
      </c>
      <c r="M51" s="124">
        <f t="shared" si="41"/>
        <v>14</v>
      </c>
      <c r="N51" s="124">
        <f t="shared" si="42"/>
        <v>24</v>
      </c>
      <c r="O51" s="124">
        <f t="shared" si="43"/>
        <v>16</v>
      </c>
      <c r="P51" s="124">
        <f t="shared" si="44"/>
        <v>8</v>
      </c>
      <c r="Q51" s="147"/>
      <c r="R51" s="117">
        <v>8208</v>
      </c>
      <c r="S51" s="108">
        <v>8196</v>
      </c>
      <c r="T51" s="108">
        <v>762</v>
      </c>
      <c r="U51" s="117">
        <v>12544</v>
      </c>
      <c r="V51" s="108">
        <v>12536</v>
      </c>
      <c r="W51" s="108">
        <v>7</v>
      </c>
    </row>
    <row r="52" ht="14.25" customHeight="1" spans="1:23">
      <c r="A52" s="75" t="s">
        <v>57</v>
      </c>
      <c r="B52" s="140">
        <f t="shared" si="36"/>
        <v>48</v>
      </c>
      <c r="C52" s="140">
        <f t="shared" si="37"/>
        <v>29</v>
      </c>
      <c r="D52" s="140">
        <f t="shared" si="38"/>
        <v>19</v>
      </c>
      <c r="E52" s="124">
        <v>144</v>
      </c>
      <c r="F52" s="124">
        <v>99</v>
      </c>
      <c r="G52" s="124">
        <v>45</v>
      </c>
      <c r="H52" s="124">
        <v>159</v>
      </c>
      <c r="I52" s="124">
        <v>106</v>
      </c>
      <c r="J52" s="124">
        <v>53</v>
      </c>
      <c r="K52" s="124">
        <f t="shared" si="39"/>
        <v>192</v>
      </c>
      <c r="L52" s="124">
        <f t="shared" si="40"/>
        <v>128</v>
      </c>
      <c r="M52" s="124">
        <f t="shared" si="41"/>
        <v>64</v>
      </c>
      <c r="N52" s="124">
        <f t="shared" si="42"/>
        <v>33</v>
      </c>
      <c r="O52" s="124">
        <f t="shared" si="43"/>
        <v>22</v>
      </c>
      <c r="P52" s="124">
        <f t="shared" si="44"/>
        <v>11</v>
      </c>
      <c r="Q52" s="146" t="s">
        <v>137</v>
      </c>
      <c r="R52" s="117">
        <v>19370</v>
      </c>
      <c r="S52" s="108">
        <v>17527</v>
      </c>
      <c r="T52" s="108">
        <v>5260</v>
      </c>
      <c r="U52" s="117">
        <v>33019</v>
      </c>
      <c r="V52" s="108">
        <v>32001</v>
      </c>
      <c r="W52" s="108">
        <v>618</v>
      </c>
    </row>
    <row r="53" ht="14.25" customHeight="1" spans="1:23">
      <c r="A53" s="75" t="s">
        <v>58</v>
      </c>
      <c r="B53" s="140">
        <f t="shared" si="36"/>
        <v>22</v>
      </c>
      <c r="C53" s="140">
        <f t="shared" si="37"/>
        <v>13</v>
      </c>
      <c r="D53" s="140">
        <f t="shared" si="38"/>
        <v>9</v>
      </c>
      <c r="E53" s="124">
        <v>97</v>
      </c>
      <c r="F53" s="124">
        <v>67</v>
      </c>
      <c r="G53" s="124">
        <v>30</v>
      </c>
      <c r="H53" s="124">
        <v>78</v>
      </c>
      <c r="I53" s="124">
        <v>52</v>
      </c>
      <c r="J53" s="124">
        <v>26</v>
      </c>
      <c r="K53" s="124">
        <f t="shared" si="39"/>
        <v>119</v>
      </c>
      <c r="L53" s="124">
        <f t="shared" si="40"/>
        <v>80</v>
      </c>
      <c r="M53" s="124">
        <f t="shared" si="41"/>
        <v>39</v>
      </c>
      <c r="N53" s="124">
        <f t="shared" si="42"/>
        <v>41</v>
      </c>
      <c r="O53" s="124">
        <f t="shared" si="43"/>
        <v>28</v>
      </c>
      <c r="P53" s="124">
        <f t="shared" si="44"/>
        <v>13</v>
      </c>
      <c r="Q53" s="146" t="s">
        <v>137</v>
      </c>
      <c r="R53" s="117">
        <v>11522</v>
      </c>
      <c r="S53" s="108">
        <v>11209</v>
      </c>
      <c r="T53" s="108">
        <v>3113</v>
      </c>
      <c r="U53" s="117">
        <v>17738</v>
      </c>
      <c r="V53" s="108">
        <v>16995</v>
      </c>
      <c r="W53" s="108">
        <v>824</v>
      </c>
    </row>
    <row r="54" ht="14.25" customHeight="1" spans="1:23">
      <c r="A54" s="75" t="s">
        <v>43</v>
      </c>
      <c r="B54" s="140">
        <f t="shared" si="36"/>
        <v>255</v>
      </c>
      <c r="C54" s="140">
        <f t="shared" si="37"/>
        <v>159</v>
      </c>
      <c r="D54" s="140">
        <f t="shared" si="38"/>
        <v>96</v>
      </c>
      <c r="E54" s="124">
        <v>504</v>
      </c>
      <c r="F54" s="124">
        <v>347</v>
      </c>
      <c r="G54" s="124">
        <v>157</v>
      </c>
      <c r="H54" s="124">
        <v>416</v>
      </c>
      <c r="I54" s="124">
        <v>277</v>
      </c>
      <c r="J54" s="124">
        <v>139</v>
      </c>
      <c r="K54" s="124">
        <f t="shared" si="39"/>
        <v>759</v>
      </c>
      <c r="L54" s="124">
        <f t="shared" si="40"/>
        <v>506</v>
      </c>
      <c r="M54" s="124">
        <f t="shared" si="41"/>
        <v>253</v>
      </c>
      <c r="N54" s="124">
        <f t="shared" si="42"/>
        <v>343</v>
      </c>
      <c r="O54" s="124">
        <f t="shared" si="43"/>
        <v>229</v>
      </c>
      <c r="P54" s="124">
        <f t="shared" si="44"/>
        <v>114</v>
      </c>
      <c r="Q54" s="146" t="s">
        <v>137</v>
      </c>
      <c r="R54" s="117">
        <v>34201</v>
      </c>
      <c r="S54" s="108">
        <v>22962</v>
      </c>
      <c r="T54" s="108">
        <v>20719</v>
      </c>
      <c r="U54" s="117">
        <v>56762</v>
      </c>
      <c r="V54" s="108">
        <v>50734</v>
      </c>
      <c r="W54" s="108">
        <v>10807</v>
      </c>
    </row>
    <row r="55" ht="14.25" customHeight="1" spans="1:23">
      <c r="A55" s="75" t="s">
        <v>59</v>
      </c>
      <c r="B55" s="140">
        <f t="shared" si="36"/>
        <v>-1</v>
      </c>
      <c r="C55" s="140">
        <f t="shared" si="37"/>
        <v>-2</v>
      </c>
      <c r="D55" s="140">
        <f t="shared" si="38"/>
        <v>1</v>
      </c>
      <c r="E55" s="124">
        <v>96</v>
      </c>
      <c r="F55" s="124">
        <v>66</v>
      </c>
      <c r="G55" s="124">
        <v>30</v>
      </c>
      <c r="H55" s="142">
        <v>109</v>
      </c>
      <c r="I55" s="142">
        <v>73</v>
      </c>
      <c r="J55" s="142">
        <v>36</v>
      </c>
      <c r="K55" s="142">
        <f t="shared" si="39"/>
        <v>95</v>
      </c>
      <c r="L55" s="142">
        <f t="shared" si="40"/>
        <v>64</v>
      </c>
      <c r="M55" s="142">
        <f t="shared" si="41"/>
        <v>31</v>
      </c>
      <c r="N55" s="142">
        <f t="shared" si="42"/>
        <v>-14</v>
      </c>
      <c r="O55" s="142">
        <f t="shared" si="43"/>
        <v>-9</v>
      </c>
      <c r="P55" s="142">
        <f t="shared" si="44"/>
        <v>-5</v>
      </c>
      <c r="Q55" s="146" t="s">
        <v>137</v>
      </c>
      <c r="R55" s="117">
        <v>11575</v>
      </c>
      <c r="S55" s="108">
        <v>11575</v>
      </c>
      <c r="T55" s="108">
        <v>2509</v>
      </c>
      <c r="U55" s="117">
        <v>19180</v>
      </c>
      <c r="V55" s="108">
        <v>19138</v>
      </c>
      <c r="W55" s="108">
        <v>116</v>
      </c>
    </row>
    <row r="56" ht="14.25" customHeight="1" spans="1:23">
      <c r="A56" s="76" t="s">
        <v>60</v>
      </c>
      <c r="B56" s="110">
        <f>SUM(B57:B60)</f>
        <v>3</v>
      </c>
      <c r="C56" s="110">
        <f>SUM(C57:C60)</f>
        <v>2</v>
      </c>
      <c r="D56" s="110">
        <f>SUM(D57:D60)</f>
        <v>1</v>
      </c>
      <c r="E56" s="110">
        <v>34</v>
      </c>
      <c r="F56" s="110">
        <v>24</v>
      </c>
      <c r="G56" s="110">
        <v>10</v>
      </c>
      <c r="H56" s="110">
        <v>9</v>
      </c>
      <c r="I56" s="110">
        <v>6</v>
      </c>
      <c r="J56" s="110">
        <v>3</v>
      </c>
      <c r="K56" s="110">
        <f t="shared" ref="K56:P56" si="45">SUM(K57:K60)</f>
        <v>37</v>
      </c>
      <c r="L56" s="110">
        <f t="shared" si="45"/>
        <v>26</v>
      </c>
      <c r="M56" s="110">
        <f t="shared" si="45"/>
        <v>11</v>
      </c>
      <c r="N56" s="110">
        <f t="shared" si="45"/>
        <v>28</v>
      </c>
      <c r="O56" s="110">
        <f t="shared" si="45"/>
        <v>20</v>
      </c>
      <c r="P56" s="110">
        <f t="shared" si="45"/>
        <v>8</v>
      </c>
      <c r="Q56" s="146" t="s">
        <v>137</v>
      </c>
      <c r="R56" s="110">
        <f t="shared" ref="R56:W56" si="46">SUM(R57:R60)</f>
        <v>9390</v>
      </c>
      <c r="S56" s="110">
        <f t="shared" si="46"/>
        <v>9275</v>
      </c>
      <c r="T56" s="110">
        <f t="shared" si="46"/>
        <v>109</v>
      </c>
      <c r="U56" s="110">
        <f t="shared" si="46"/>
        <v>18165</v>
      </c>
      <c r="V56" s="110">
        <f t="shared" si="46"/>
        <v>17925</v>
      </c>
      <c r="W56" s="110">
        <f t="shared" si="46"/>
        <v>122</v>
      </c>
    </row>
    <row r="57" ht="14.25" customHeight="1" spans="1:23">
      <c r="A57" s="71" t="s">
        <v>26</v>
      </c>
      <c r="B57" s="140">
        <f t="shared" ref="B57:B62" si="47">C57+D57</f>
        <v>-1</v>
      </c>
      <c r="C57" s="140">
        <f t="shared" ref="C57:C62" si="48">L57-F57</f>
        <v>-1</v>
      </c>
      <c r="D57" s="140">
        <f t="shared" ref="D57:D62" si="49">M57-G57</f>
        <v>0</v>
      </c>
      <c r="E57" s="124">
        <v>14</v>
      </c>
      <c r="F57" s="124">
        <v>10</v>
      </c>
      <c r="G57" s="124">
        <v>4</v>
      </c>
      <c r="H57" s="124">
        <v>3</v>
      </c>
      <c r="I57" s="124">
        <v>2</v>
      </c>
      <c r="J57" s="124">
        <v>1</v>
      </c>
      <c r="K57" s="124">
        <f t="shared" ref="K57:K62" si="50">SUM(L57:M57)</f>
        <v>13</v>
      </c>
      <c r="L57" s="124">
        <f t="shared" ref="L57:L62" si="51">ROUND((T57*1250+W57*1000)*25%*0.5/10000,0)+ROUND(((R57-T57)*1250*50%*3%+(U57-W57)*1000*50%*3%)*0.5/10000,0)</f>
        <v>9</v>
      </c>
      <c r="M57" s="124">
        <f t="shared" ref="M57:M62" si="52">ROUND((T57*1250+W57*1000)*25%*0.25/10000,0)+ROUND(((R57-T57)*1250*50%*3%+(U57-W57)*1000*50%*3%)*0.25/10000,0)</f>
        <v>4</v>
      </c>
      <c r="N57" s="124">
        <f t="shared" ref="N57:N62" si="53">O57+P57</f>
        <v>10</v>
      </c>
      <c r="O57" s="124">
        <f t="shared" ref="O57:O62" si="54">L57-I57</f>
        <v>7</v>
      </c>
      <c r="P57" s="124">
        <f t="shared" ref="P57:P62" si="55">M57-J57</f>
        <v>3</v>
      </c>
      <c r="Q57" s="147"/>
      <c r="R57" s="117">
        <v>9275</v>
      </c>
      <c r="S57" s="108">
        <v>9275</v>
      </c>
      <c r="T57" s="108">
        <v>28</v>
      </c>
      <c r="U57" s="117">
        <v>0</v>
      </c>
      <c r="V57" s="108">
        <v>0</v>
      </c>
      <c r="W57" s="108">
        <v>0</v>
      </c>
    </row>
    <row r="58" ht="14.25" customHeight="1" spans="1:23">
      <c r="A58" s="71" t="s">
        <v>61</v>
      </c>
      <c r="B58" s="140">
        <f t="shared" si="47"/>
        <v>4</v>
      </c>
      <c r="C58" s="140">
        <f t="shared" si="48"/>
        <v>3</v>
      </c>
      <c r="D58" s="140">
        <f t="shared" si="49"/>
        <v>1</v>
      </c>
      <c r="E58" s="124">
        <v>16</v>
      </c>
      <c r="F58" s="124">
        <v>11</v>
      </c>
      <c r="G58" s="124">
        <v>5</v>
      </c>
      <c r="H58" s="124">
        <v>3</v>
      </c>
      <c r="I58" s="124">
        <v>2</v>
      </c>
      <c r="J58" s="124">
        <v>1</v>
      </c>
      <c r="K58" s="124">
        <f t="shared" si="50"/>
        <v>20</v>
      </c>
      <c r="L58" s="124">
        <f t="shared" si="51"/>
        <v>14</v>
      </c>
      <c r="M58" s="124">
        <f t="shared" si="52"/>
        <v>6</v>
      </c>
      <c r="N58" s="124">
        <f t="shared" si="53"/>
        <v>17</v>
      </c>
      <c r="O58" s="124">
        <f t="shared" si="54"/>
        <v>12</v>
      </c>
      <c r="P58" s="124">
        <f t="shared" si="55"/>
        <v>5</v>
      </c>
      <c r="Q58" s="147"/>
      <c r="R58" s="117">
        <v>115</v>
      </c>
      <c r="S58" s="108">
        <v>0</v>
      </c>
      <c r="T58" s="108">
        <v>81</v>
      </c>
      <c r="U58" s="117">
        <v>14684</v>
      </c>
      <c r="V58" s="108">
        <v>14444</v>
      </c>
      <c r="W58" s="108">
        <v>122</v>
      </c>
    </row>
    <row r="59" ht="14.25" customHeight="1" spans="1:23">
      <c r="A59" s="71" t="s">
        <v>62</v>
      </c>
      <c r="B59" s="140">
        <f t="shared" si="47"/>
        <v>0</v>
      </c>
      <c r="C59" s="140">
        <f t="shared" si="48"/>
        <v>0</v>
      </c>
      <c r="D59" s="140">
        <f t="shared" si="49"/>
        <v>0</v>
      </c>
      <c r="E59" s="124">
        <v>4</v>
      </c>
      <c r="F59" s="124">
        <v>3</v>
      </c>
      <c r="G59" s="124">
        <v>1</v>
      </c>
      <c r="H59" s="124">
        <v>3</v>
      </c>
      <c r="I59" s="124">
        <v>2</v>
      </c>
      <c r="J59" s="124">
        <v>1</v>
      </c>
      <c r="K59" s="124">
        <f t="shared" si="50"/>
        <v>4</v>
      </c>
      <c r="L59" s="124">
        <f t="shared" si="51"/>
        <v>3</v>
      </c>
      <c r="M59" s="124">
        <f t="shared" si="52"/>
        <v>1</v>
      </c>
      <c r="N59" s="124">
        <f t="shared" si="53"/>
        <v>1</v>
      </c>
      <c r="O59" s="124">
        <f t="shared" si="54"/>
        <v>1</v>
      </c>
      <c r="P59" s="124">
        <f t="shared" si="55"/>
        <v>0</v>
      </c>
      <c r="Q59" s="147"/>
      <c r="R59" s="117">
        <v>0</v>
      </c>
      <c r="S59" s="108">
        <v>0</v>
      </c>
      <c r="T59" s="108">
        <v>0</v>
      </c>
      <c r="U59" s="117">
        <v>3441</v>
      </c>
      <c r="V59" s="108">
        <v>3441</v>
      </c>
      <c r="W59" s="108">
        <v>0</v>
      </c>
    </row>
    <row r="60" ht="14.25" customHeight="1" spans="1:23">
      <c r="A60" s="71" t="s">
        <v>63</v>
      </c>
      <c r="B60" s="140">
        <f t="shared" si="47"/>
        <v>0</v>
      </c>
      <c r="C60" s="140">
        <f t="shared" si="48"/>
        <v>0</v>
      </c>
      <c r="D60" s="140">
        <f t="shared" si="49"/>
        <v>0</v>
      </c>
      <c r="E60" s="124">
        <v>0</v>
      </c>
      <c r="F60" s="124">
        <v>0</v>
      </c>
      <c r="G60" s="124">
        <v>0</v>
      </c>
      <c r="H60" s="124">
        <v>0</v>
      </c>
      <c r="I60" s="124">
        <v>0</v>
      </c>
      <c r="J60" s="124">
        <v>0</v>
      </c>
      <c r="K60" s="124">
        <f t="shared" si="50"/>
        <v>0</v>
      </c>
      <c r="L60" s="124">
        <f t="shared" si="51"/>
        <v>0</v>
      </c>
      <c r="M60" s="124">
        <f t="shared" si="52"/>
        <v>0</v>
      </c>
      <c r="N60" s="124">
        <f t="shared" si="53"/>
        <v>0</v>
      </c>
      <c r="O60" s="124">
        <f t="shared" si="54"/>
        <v>0</v>
      </c>
      <c r="P60" s="124">
        <f t="shared" si="55"/>
        <v>0</v>
      </c>
      <c r="Q60" s="147"/>
      <c r="R60" s="117">
        <v>0</v>
      </c>
      <c r="S60" s="108">
        <v>0</v>
      </c>
      <c r="T60" s="108">
        <v>0</v>
      </c>
      <c r="U60" s="117">
        <v>40</v>
      </c>
      <c r="V60" s="108">
        <v>40</v>
      </c>
      <c r="W60" s="108">
        <v>0</v>
      </c>
    </row>
    <row r="61" ht="14.25" customHeight="1" spans="1:23">
      <c r="A61" s="75" t="s">
        <v>64</v>
      </c>
      <c r="B61" s="140">
        <f t="shared" si="47"/>
        <v>-1</v>
      </c>
      <c r="C61" s="140">
        <f t="shared" si="48"/>
        <v>-1</v>
      </c>
      <c r="D61" s="140">
        <f t="shared" si="49"/>
        <v>0</v>
      </c>
      <c r="E61" s="124">
        <v>32</v>
      </c>
      <c r="F61" s="124">
        <v>22</v>
      </c>
      <c r="G61" s="124">
        <v>10</v>
      </c>
      <c r="H61" s="142">
        <v>32</v>
      </c>
      <c r="I61" s="142">
        <v>21</v>
      </c>
      <c r="J61" s="142">
        <v>11</v>
      </c>
      <c r="K61" s="142">
        <f t="shared" si="50"/>
        <v>31</v>
      </c>
      <c r="L61" s="142">
        <f t="shared" si="51"/>
        <v>21</v>
      </c>
      <c r="M61" s="142">
        <f t="shared" si="52"/>
        <v>10</v>
      </c>
      <c r="N61" s="142">
        <f t="shared" si="53"/>
        <v>-1</v>
      </c>
      <c r="O61" s="142">
        <f t="shared" si="54"/>
        <v>0</v>
      </c>
      <c r="P61" s="142">
        <f t="shared" si="55"/>
        <v>-1</v>
      </c>
      <c r="Q61" s="146" t="s">
        <v>137</v>
      </c>
      <c r="R61" s="117">
        <v>9692</v>
      </c>
      <c r="S61" s="108">
        <v>9692</v>
      </c>
      <c r="T61" s="108">
        <v>0</v>
      </c>
      <c r="U61" s="117">
        <v>15687</v>
      </c>
      <c r="V61" s="108">
        <v>15687</v>
      </c>
      <c r="W61" s="108">
        <v>0</v>
      </c>
    </row>
    <row r="62" ht="14.25" customHeight="1" spans="1:23">
      <c r="A62" s="75" t="s">
        <v>65</v>
      </c>
      <c r="B62" s="140">
        <f t="shared" si="47"/>
        <v>-2</v>
      </c>
      <c r="C62" s="140">
        <f t="shared" si="48"/>
        <v>-2</v>
      </c>
      <c r="D62" s="140">
        <f t="shared" si="49"/>
        <v>0</v>
      </c>
      <c r="E62" s="124">
        <v>40</v>
      </c>
      <c r="F62" s="124">
        <v>27</v>
      </c>
      <c r="G62" s="124">
        <v>13</v>
      </c>
      <c r="H62" s="142">
        <v>40</v>
      </c>
      <c r="I62" s="142">
        <v>27</v>
      </c>
      <c r="J62" s="142">
        <v>13</v>
      </c>
      <c r="K62" s="142">
        <f t="shared" si="50"/>
        <v>38</v>
      </c>
      <c r="L62" s="142">
        <f t="shared" si="51"/>
        <v>25</v>
      </c>
      <c r="M62" s="142">
        <f t="shared" si="52"/>
        <v>13</v>
      </c>
      <c r="N62" s="142">
        <f t="shared" si="53"/>
        <v>-2</v>
      </c>
      <c r="O62" s="142">
        <f t="shared" si="54"/>
        <v>-2</v>
      </c>
      <c r="P62" s="142">
        <f t="shared" si="55"/>
        <v>0</v>
      </c>
      <c r="Q62" s="146" t="s">
        <v>137</v>
      </c>
      <c r="R62" s="117">
        <v>7364</v>
      </c>
      <c r="S62" s="108">
        <v>7364</v>
      </c>
      <c r="T62" s="108">
        <v>644</v>
      </c>
      <c r="U62" s="117">
        <v>10771</v>
      </c>
      <c r="V62" s="108">
        <v>10671</v>
      </c>
      <c r="W62" s="108">
        <v>100</v>
      </c>
    </row>
    <row r="63" ht="14.25" customHeight="1" spans="1:23">
      <c r="A63" s="76" t="s">
        <v>66</v>
      </c>
      <c r="B63" s="110">
        <f>SUM(B64:B66)</f>
        <v>16</v>
      </c>
      <c r="C63" s="110">
        <f>SUM(C64:C66)</f>
        <v>11</v>
      </c>
      <c r="D63" s="110">
        <f>SUM(D64:D66)</f>
        <v>5</v>
      </c>
      <c r="E63" s="110">
        <v>15</v>
      </c>
      <c r="F63" s="110">
        <v>10</v>
      </c>
      <c r="G63" s="110">
        <v>5</v>
      </c>
      <c r="H63" s="110">
        <v>9</v>
      </c>
      <c r="I63" s="110">
        <v>6</v>
      </c>
      <c r="J63" s="110">
        <v>3</v>
      </c>
      <c r="K63" s="110">
        <f t="shared" ref="K63:P63" si="56">SUM(K64:K66)</f>
        <v>31</v>
      </c>
      <c r="L63" s="110">
        <f t="shared" si="56"/>
        <v>21</v>
      </c>
      <c r="M63" s="110">
        <f t="shared" si="56"/>
        <v>10</v>
      </c>
      <c r="N63" s="110">
        <f t="shared" si="56"/>
        <v>22</v>
      </c>
      <c r="O63" s="110">
        <f t="shared" si="56"/>
        <v>15</v>
      </c>
      <c r="P63" s="110">
        <f t="shared" si="56"/>
        <v>7</v>
      </c>
      <c r="Q63" s="146" t="s">
        <v>137</v>
      </c>
      <c r="R63" s="110">
        <f t="shared" ref="R63:W63" si="57">SUM(R64:R66)</f>
        <v>8847</v>
      </c>
      <c r="S63" s="110">
        <f t="shared" si="57"/>
        <v>8847</v>
      </c>
      <c r="T63" s="110">
        <f t="shared" si="57"/>
        <v>0</v>
      </c>
      <c r="U63" s="110">
        <f t="shared" si="57"/>
        <v>16850</v>
      </c>
      <c r="V63" s="110">
        <f t="shared" si="57"/>
        <v>16850</v>
      </c>
      <c r="W63" s="110">
        <f t="shared" si="57"/>
        <v>0</v>
      </c>
    </row>
    <row r="64" ht="14.25" customHeight="1" spans="1:23">
      <c r="A64" s="71" t="s">
        <v>26</v>
      </c>
      <c r="B64" s="140">
        <f t="shared" ref="B64:B71" si="58">C64+D64</f>
        <v>0</v>
      </c>
      <c r="C64" s="140">
        <f t="shared" ref="C64:C71" si="59">L64-F64</f>
        <v>0</v>
      </c>
      <c r="D64" s="140">
        <f t="shared" ref="D64:D71" si="60">M64-G64</f>
        <v>0</v>
      </c>
      <c r="E64" s="124">
        <v>15</v>
      </c>
      <c r="F64" s="124">
        <v>10</v>
      </c>
      <c r="G64" s="124">
        <v>5</v>
      </c>
      <c r="H64" s="124">
        <v>4</v>
      </c>
      <c r="I64" s="124">
        <v>3</v>
      </c>
      <c r="J64" s="124">
        <v>1</v>
      </c>
      <c r="K64" s="124">
        <f t="shared" ref="K64:K71" si="61">SUM(L64:M64)</f>
        <v>15</v>
      </c>
      <c r="L64" s="124">
        <f t="shared" ref="L64:L71" si="62">ROUND((T64*1250+W64*1000)*25%*0.5/10000,0)+ROUND(((R64-T64)*1250*50%*3%+(U64-W64)*1000*50%*3%)*0.5/10000,0)</f>
        <v>10</v>
      </c>
      <c r="M64" s="124">
        <f t="shared" ref="M64:M71" si="63">ROUND((T64*1250+W64*1000)*25%*0.25/10000,0)+ROUND(((R64-T64)*1250*50%*3%+(U64-W64)*1000*50%*3%)*0.25/10000,0)</f>
        <v>5</v>
      </c>
      <c r="N64" s="124">
        <f t="shared" ref="N64:N71" si="64">O64+P64</f>
        <v>11</v>
      </c>
      <c r="O64" s="124">
        <f t="shared" ref="O64:O71" si="65">L64-I64</f>
        <v>7</v>
      </c>
      <c r="P64" s="124">
        <f t="shared" ref="P64:P71" si="66">M64-J64</f>
        <v>4</v>
      </c>
      <c r="Q64" s="147"/>
      <c r="R64" s="117">
        <v>8441</v>
      </c>
      <c r="S64" s="108">
        <v>8441</v>
      </c>
      <c r="T64" s="108">
        <v>0</v>
      </c>
      <c r="U64" s="117">
        <v>2659</v>
      </c>
      <c r="V64" s="108">
        <v>2659</v>
      </c>
      <c r="W64" s="108">
        <v>0</v>
      </c>
    </row>
    <row r="65" ht="14.25" customHeight="1" spans="1:23">
      <c r="A65" s="71" t="s">
        <v>67</v>
      </c>
      <c r="B65" s="140">
        <f t="shared" si="58"/>
        <v>15</v>
      </c>
      <c r="C65" s="140">
        <f t="shared" si="59"/>
        <v>10</v>
      </c>
      <c r="D65" s="140">
        <f t="shared" si="60"/>
        <v>5</v>
      </c>
      <c r="E65" s="142">
        <v>0</v>
      </c>
      <c r="F65" s="142">
        <v>0</v>
      </c>
      <c r="G65" s="142">
        <v>0</v>
      </c>
      <c r="H65" s="142">
        <v>3</v>
      </c>
      <c r="I65" s="142">
        <v>2</v>
      </c>
      <c r="J65" s="142">
        <v>1</v>
      </c>
      <c r="K65" s="124">
        <f t="shared" si="61"/>
        <v>15</v>
      </c>
      <c r="L65" s="124">
        <f t="shared" si="62"/>
        <v>10</v>
      </c>
      <c r="M65" s="124">
        <f t="shared" si="63"/>
        <v>5</v>
      </c>
      <c r="N65" s="124">
        <f t="shared" si="64"/>
        <v>12</v>
      </c>
      <c r="O65" s="124">
        <f t="shared" si="65"/>
        <v>8</v>
      </c>
      <c r="P65" s="124">
        <f t="shared" si="66"/>
        <v>4</v>
      </c>
      <c r="Q65" s="147"/>
      <c r="R65" s="117">
        <v>0</v>
      </c>
      <c r="S65" s="108">
        <v>0</v>
      </c>
      <c r="T65" s="108">
        <v>0</v>
      </c>
      <c r="U65" s="117">
        <v>13449</v>
      </c>
      <c r="V65" s="108">
        <v>13449</v>
      </c>
      <c r="W65" s="108">
        <v>0</v>
      </c>
    </row>
    <row r="66" ht="14.25" customHeight="1" spans="1:23">
      <c r="A66" s="71" t="s">
        <v>68</v>
      </c>
      <c r="B66" s="140">
        <f t="shared" si="58"/>
        <v>1</v>
      </c>
      <c r="C66" s="140">
        <f t="shared" si="59"/>
        <v>1</v>
      </c>
      <c r="D66" s="140">
        <f t="shared" si="60"/>
        <v>0</v>
      </c>
      <c r="E66" s="142">
        <v>0</v>
      </c>
      <c r="F66" s="142">
        <v>0</v>
      </c>
      <c r="G66" s="142">
        <v>0</v>
      </c>
      <c r="H66" s="142">
        <v>2</v>
      </c>
      <c r="I66" s="142">
        <v>1</v>
      </c>
      <c r="J66" s="142">
        <v>1</v>
      </c>
      <c r="K66" s="142">
        <f t="shared" si="61"/>
        <v>1</v>
      </c>
      <c r="L66" s="142">
        <f t="shared" si="62"/>
        <v>1</v>
      </c>
      <c r="M66" s="142">
        <f t="shared" si="63"/>
        <v>0</v>
      </c>
      <c r="N66" s="142">
        <f t="shared" si="64"/>
        <v>-1</v>
      </c>
      <c r="O66" s="142">
        <f t="shared" si="65"/>
        <v>0</v>
      </c>
      <c r="P66" s="142">
        <f t="shared" si="66"/>
        <v>-1</v>
      </c>
      <c r="Q66" s="147"/>
      <c r="R66" s="117">
        <v>406</v>
      </c>
      <c r="S66" s="108">
        <v>406</v>
      </c>
      <c r="T66" s="108">
        <v>0</v>
      </c>
      <c r="U66" s="117">
        <v>742</v>
      </c>
      <c r="V66" s="108">
        <v>742</v>
      </c>
      <c r="W66" s="108">
        <v>0</v>
      </c>
    </row>
    <row r="67" ht="14.25" customHeight="1" spans="1:23">
      <c r="A67" s="75" t="s">
        <v>69</v>
      </c>
      <c r="B67" s="140">
        <f t="shared" si="58"/>
        <v>-6</v>
      </c>
      <c r="C67" s="140">
        <f t="shared" si="59"/>
        <v>-6</v>
      </c>
      <c r="D67" s="140">
        <f t="shared" si="60"/>
        <v>0</v>
      </c>
      <c r="E67" s="124">
        <v>55</v>
      </c>
      <c r="F67" s="124">
        <v>38</v>
      </c>
      <c r="G67" s="124">
        <v>17</v>
      </c>
      <c r="H67" s="142">
        <v>55</v>
      </c>
      <c r="I67" s="142">
        <v>37</v>
      </c>
      <c r="J67" s="142">
        <v>18</v>
      </c>
      <c r="K67" s="142">
        <f t="shared" si="61"/>
        <v>49</v>
      </c>
      <c r="L67" s="142">
        <f t="shared" si="62"/>
        <v>32</v>
      </c>
      <c r="M67" s="142">
        <f t="shared" si="63"/>
        <v>17</v>
      </c>
      <c r="N67" s="142">
        <f t="shared" si="64"/>
        <v>-6</v>
      </c>
      <c r="O67" s="142">
        <f t="shared" si="65"/>
        <v>-5</v>
      </c>
      <c r="P67" s="142">
        <f t="shared" si="66"/>
        <v>-1</v>
      </c>
      <c r="Q67" s="146" t="s">
        <v>137</v>
      </c>
      <c r="R67" s="117">
        <v>4933</v>
      </c>
      <c r="S67" s="108">
        <v>4933</v>
      </c>
      <c r="T67" s="108">
        <v>1345</v>
      </c>
      <c r="U67" s="117">
        <v>8157</v>
      </c>
      <c r="V67" s="108">
        <v>8157</v>
      </c>
      <c r="W67" s="108">
        <v>187</v>
      </c>
    </row>
    <row r="68" ht="14.25" customHeight="1" spans="1:23">
      <c r="A68" s="75" t="s">
        <v>70</v>
      </c>
      <c r="B68" s="140">
        <f t="shared" si="58"/>
        <v>12</v>
      </c>
      <c r="C68" s="140">
        <f t="shared" si="59"/>
        <v>6</v>
      </c>
      <c r="D68" s="140">
        <f t="shared" si="60"/>
        <v>6</v>
      </c>
      <c r="E68" s="124">
        <v>124</v>
      </c>
      <c r="F68" s="124">
        <v>85</v>
      </c>
      <c r="G68" s="124">
        <v>39</v>
      </c>
      <c r="H68" s="142">
        <v>177</v>
      </c>
      <c r="I68" s="142">
        <v>118</v>
      </c>
      <c r="J68" s="142">
        <v>59</v>
      </c>
      <c r="K68" s="142">
        <f t="shared" si="61"/>
        <v>136</v>
      </c>
      <c r="L68" s="142">
        <f t="shared" si="62"/>
        <v>91</v>
      </c>
      <c r="M68" s="142">
        <f t="shared" si="63"/>
        <v>45</v>
      </c>
      <c r="N68" s="142">
        <f t="shared" si="64"/>
        <v>-41</v>
      </c>
      <c r="O68" s="142">
        <f t="shared" si="65"/>
        <v>-27</v>
      </c>
      <c r="P68" s="142">
        <f t="shared" si="66"/>
        <v>-14</v>
      </c>
      <c r="Q68" s="146" t="s">
        <v>137</v>
      </c>
      <c r="R68" s="117">
        <v>8366</v>
      </c>
      <c r="S68" s="108">
        <v>8004</v>
      </c>
      <c r="T68" s="108">
        <v>3956</v>
      </c>
      <c r="U68" s="117">
        <v>12273</v>
      </c>
      <c r="V68" s="108">
        <v>11694</v>
      </c>
      <c r="W68" s="108">
        <v>1353</v>
      </c>
    </row>
    <row r="69" ht="14.25" customHeight="1" spans="1:23">
      <c r="A69" s="75" t="s">
        <v>71</v>
      </c>
      <c r="B69" s="140">
        <f t="shared" si="58"/>
        <v>-6</v>
      </c>
      <c r="C69" s="140">
        <f t="shared" si="59"/>
        <v>-7</v>
      </c>
      <c r="D69" s="140">
        <f t="shared" si="60"/>
        <v>1</v>
      </c>
      <c r="E69" s="124">
        <v>153</v>
      </c>
      <c r="F69" s="124">
        <v>105</v>
      </c>
      <c r="G69" s="124">
        <v>48</v>
      </c>
      <c r="H69" s="142">
        <v>148</v>
      </c>
      <c r="I69" s="142">
        <v>99</v>
      </c>
      <c r="J69" s="142">
        <v>49</v>
      </c>
      <c r="K69" s="142">
        <f t="shared" si="61"/>
        <v>147</v>
      </c>
      <c r="L69" s="142">
        <f t="shared" si="62"/>
        <v>98</v>
      </c>
      <c r="M69" s="142">
        <f t="shared" si="63"/>
        <v>49</v>
      </c>
      <c r="N69" s="142">
        <f t="shared" si="64"/>
        <v>-1</v>
      </c>
      <c r="O69" s="142">
        <f t="shared" si="65"/>
        <v>-1</v>
      </c>
      <c r="P69" s="142">
        <f t="shared" si="66"/>
        <v>0</v>
      </c>
      <c r="Q69" s="146" t="s">
        <v>137</v>
      </c>
      <c r="R69" s="117">
        <v>8238</v>
      </c>
      <c r="S69" s="108">
        <v>8238</v>
      </c>
      <c r="T69" s="108">
        <v>3548</v>
      </c>
      <c r="U69" s="117">
        <v>15251</v>
      </c>
      <c r="V69" s="108">
        <v>15251</v>
      </c>
      <c r="W69" s="108">
        <v>2303</v>
      </c>
    </row>
    <row r="70" ht="14.25" customHeight="1" spans="1:23">
      <c r="A70" s="75" t="s">
        <v>72</v>
      </c>
      <c r="B70" s="140">
        <f t="shared" si="58"/>
        <v>29</v>
      </c>
      <c r="C70" s="140">
        <f t="shared" si="59"/>
        <v>18</v>
      </c>
      <c r="D70" s="140">
        <f t="shared" si="60"/>
        <v>11</v>
      </c>
      <c r="E70" s="124">
        <v>70</v>
      </c>
      <c r="F70" s="124">
        <v>48</v>
      </c>
      <c r="G70" s="124">
        <v>22</v>
      </c>
      <c r="H70" s="124">
        <v>42</v>
      </c>
      <c r="I70" s="124">
        <v>28</v>
      </c>
      <c r="J70" s="124">
        <v>14</v>
      </c>
      <c r="K70" s="124">
        <f t="shared" si="61"/>
        <v>99</v>
      </c>
      <c r="L70" s="124">
        <f t="shared" si="62"/>
        <v>66</v>
      </c>
      <c r="M70" s="124">
        <f t="shared" si="63"/>
        <v>33</v>
      </c>
      <c r="N70" s="124">
        <f t="shared" si="64"/>
        <v>57</v>
      </c>
      <c r="O70" s="124">
        <f t="shared" si="65"/>
        <v>38</v>
      </c>
      <c r="P70" s="124">
        <f t="shared" si="66"/>
        <v>19</v>
      </c>
      <c r="Q70" s="146" t="s">
        <v>137</v>
      </c>
      <c r="R70" s="117">
        <v>13603</v>
      </c>
      <c r="S70" s="108">
        <v>11429</v>
      </c>
      <c r="T70" s="108">
        <v>2212</v>
      </c>
      <c r="U70" s="117">
        <v>24482</v>
      </c>
      <c r="V70" s="108">
        <v>22926</v>
      </c>
      <c r="W70" s="108">
        <v>198</v>
      </c>
    </row>
    <row r="71" ht="14.25" customHeight="1" spans="1:23">
      <c r="A71" s="75" t="s">
        <v>73</v>
      </c>
      <c r="B71" s="140">
        <f t="shared" si="58"/>
        <v>-4</v>
      </c>
      <c r="C71" s="140">
        <f t="shared" si="59"/>
        <v>-4</v>
      </c>
      <c r="D71" s="140">
        <f t="shared" si="60"/>
        <v>0</v>
      </c>
      <c r="E71" s="124">
        <v>46</v>
      </c>
      <c r="F71" s="124">
        <v>32</v>
      </c>
      <c r="G71" s="124">
        <v>14</v>
      </c>
      <c r="H71" s="124">
        <v>40</v>
      </c>
      <c r="I71" s="124">
        <v>27</v>
      </c>
      <c r="J71" s="124">
        <v>13</v>
      </c>
      <c r="K71" s="124">
        <f t="shared" si="61"/>
        <v>42</v>
      </c>
      <c r="L71" s="124">
        <f t="shared" si="62"/>
        <v>28</v>
      </c>
      <c r="M71" s="124">
        <f t="shared" si="63"/>
        <v>14</v>
      </c>
      <c r="N71" s="124">
        <f t="shared" si="64"/>
        <v>2</v>
      </c>
      <c r="O71" s="124">
        <f t="shared" si="65"/>
        <v>1</v>
      </c>
      <c r="P71" s="124">
        <f t="shared" si="66"/>
        <v>1</v>
      </c>
      <c r="Q71" s="146" t="s">
        <v>137</v>
      </c>
      <c r="R71" s="117">
        <v>4080</v>
      </c>
      <c r="S71" s="108">
        <v>4080</v>
      </c>
      <c r="T71" s="108">
        <v>1196</v>
      </c>
      <c r="U71" s="117">
        <v>6804</v>
      </c>
      <c r="V71" s="108">
        <v>6804</v>
      </c>
      <c r="W71" s="108">
        <v>111</v>
      </c>
    </row>
    <row r="72" ht="14.25" customHeight="1" spans="1:23">
      <c r="A72" s="76" t="s">
        <v>74</v>
      </c>
      <c r="B72" s="110">
        <f>SUM(B73:B75)</f>
        <v>-1</v>
      </c>
      <c r="C72" s="110">
        <f>SUM(C73:C75)</f>
        <v>0</v>
      </c>
      <c r="D72" s="110">
        <f>SUM(D73:D75)</f>
        <v>-1</v>
      </c>
      <c r="E72" s="110">
        <v>35</v>
      </c>
      <c r="F72" s="110">
        <v>23</v>
      </c>
      <c r="G72" s="110">
        <v>12</v>
      </c>
      <c r="H72" s="110">
        <v>19</v>
      </c>
      <c r="I72" s="110">
        <v>12</v>
      </c>
      <c r="J72" s="110">
        <v>7</v>
      </c>
      <c r="K72" s="110">
        <f t="shared" ref="K72:P72" si="67">SUM(K73:K75)</f>
        <v>34</v>
      </c>
      <c r="L72" s="110">
        <f t="shared" si="67"/>
        <v>23</v>
      </c>
      <c r="M72" s="110">
        <f t="shared" si="67"/>
        <v>11</v>
      </c>
      <c r="N72" s="110">
        <f t="shared" si="67"/>
        <v>15</v>
      </c>
      <c r="O72" s="110">
        <f t="shared" si="67"/>
        <v>11</v>
      </c>
      <c r="P72" s="110">
        <f t="shared" si="67"/>
        <v>4</v>
      </c>
      <c r="Q72" s="146" t="s">
        <v>137</v>
      </c>
      <c r="R72" s="110">
        <f t="shared" ref="R72:W72" si="68">SUM(R73:R75)</f>
        <v>9622</v>
      </c>
      <c r="S72" s="110">
        <f t="shared" si="68"/>
        <v>7811</v>
      </c>
      <c r="T72" s="110">
        <f t="shared" si="68"/>
        <v>58</v>
      </c>
      <c r="U72" s="110">
        <f t="shared" si="68"/>
        <v>17399</v>
      </c>
      <c r="V72" s="110">
        <f t="shared" si="68"/>
        <v>15062</v>
      </c>
      <c r="W72" s="110">
        <f t="shared" si="68"/>
        <v>8</v>
      </c>
    </row>
    <row r="73" ht="14.25" customHeight="1" spans="1:23">
      <c r="A73" s="71" t="s">
        <v>26</v>
      </c>
      <c r="B73" s="140">
        <f t="shared" ref="B73:B79" si="69">C73+D73</f>
        <v>0</v>
      </c>
      <c r="C73" s="140">
        <f t="shared" ref="C73:C79" si="70">L73-F73</f>
        <v>0</v>
      </c>
      <c r="D73" s="140">
        <f t="shared" ref="D73:D79" si="71">M73-G73</f>
        <v>0</v>
      </c>
      <c r="E73" s="124">
        <v>12</v>
      </c>
      <c r="F73" s="124">
        <v>8</v>
      </c>
      <c r="G73" s="124">
        <v>4</v>
      </c>
      <c r="H73" s="124">
        <v>2</v>
      </c>
      <c r="I73" s="124">
        <v>1</v>
      </c>
      <c r="J73" s="124">
        <v>1</v>
      </c>
      <c r="K73" s="124">
        <f t="shared" ref="K73:K79" si="72">SUM(L73:M73)</f>
        <v>12</v>
      </c>
      <c r="L73" s="124">
        <f t="shared" ref="L73:L79" si="73">ROUND((T73*1250+W73*1000)*25%*0.5/10000,0)+ROUND(((R73-T73)*1250*50%*3%+(U73-W73)*1000*50%*3%)*0.5/10000,0)</f>
        <v>8</v>
      </c>
      <c r="M73" s="124">
        <f t="shared" ref="M73:M79" si="74">ROUND((T73*1250+W73*1000)*25%*0.25/10000,0)+ROUND(((R73-T73)*1250*50%*3%+(U73-W73)*1000*50%*3%)*0.25/10000,0)</f>
        <v>4</v>
      </c>
      <c r="N73" s="124">
        <f t="shared" ref="N73:N79" si="75">O73+P73</f>
        <v>10</v>
      </c>
      <c r="O73" s="124">
        <f t="shared" ref="O73:O79" si="76">L73-I73</f>
        <v>7</v>
      </c>
      <c r="P73" s="124">
        <f t="shared" ref="P73:P79" si="77">M73-J73</f>
        <v>3</v>
      </c>
      <c r="Q73" s="147"/>
      <c r="R73" s="117">
        <v>3739</v>
      </c>
      <c r="S73" s="108">
        <v>1928</v>
      </c>
      <c r="T73" s="108">
        <v>0</v>
      </c>
      <c r="U73" s="117">
        <v>5829</v>
      </c>
      <c r="V73" s="108">
        <v>3492</v>
      </c>
      <c r="W73" s="108">
        <v>0</v>
      </c>
    </row>
    <row r="74" ht="14.25" customHeight="1" spans="1:23">
      <c r="A74" s="71" t="s">
        <v>75</v>
      </c>
      <c r="B74" s="140">
        <f t="shared" si="69"/>
        <v>-1</v>
      </c>
      <c r="C74" s="140">
        <f t="shared" si="70"/>
        <v>0</v>
      </c>
      <c r="D74" s="140">
        <f t="shared" si="71"/>
        <v>-1</v>
      </c>
      <c r="E74" s="124">
        <v>14</v>
      </c>
      <c r="F74" s="124">
        <v>9</v>
      </c>
      <c r="G74" s="124">
        <v>5</v>
      </c>
      <c r="H74" s="124">
        <v>8</v>
      </c>
      <c r="I74" s="124">
        <v>5</v>
      </c>
      <c r="J74" s="124">
        <v>3</v>
      </c>
      <c r="K74" s="124">
        <f t="shared" si="72"/>
        <v>13</v>
      </c>
      <c r="L74" s="124">
        <f t="shared" si="73"/>
        <v>9</v>
      </c>
      <c r="M74" s="124">
        <f t="shared" si="74"/>
        <v>4</v>
      </c>
      <c r="N74" s="124">
        <f t="shared" si="75"/>
        <v>5</v>
      </c>
      <c r="O74" s="124">
        <f t="shared" si="76"/>
        <v>4</v>
      </c>
      <c r="P74" s="124">
        <f t="shared" si="77"/>
        <v>1</v>
      </c>
      <c r="Q74" s="147"/>
      <c r="R74" s="117">
        <v>3263</v>
      </c>
      <c r="S74" s="108">
        <v>3263</v>
      </c>
      <c r="T74" s="108">
        <v>57</v>
      </c>
      <c r="U74" s="117">
        <v>6934</v>
      </c>
      <c r="V74" s="108">
        <v>6934</v>
      </c>
      <c r="W74" s="108">
        <v>8</v>
      </c>
    </row>
    <row r="75" ht="14.25" customHeight="1" spans="1:23">
      <c r="A75" s="74" t="s">
        <v>76</v>
      </c>
      <c r="B75" s="140">
        <f t="shared" si="69"/>
        <v>0</v>
      </c>
      <c r="C75" s="140">
        <f t="shared" si="70"/>
        <v>0</v>
      </c>
      <c r="D75" s="140">
        <f t="shared" si="71"/>
        <v>0</v>
      </c>
      <c r="E75" s="124">
        <v>9</v>
      </c>
      <c r="F75" s="124">
        <v>6</v>
      </c>
      <c r="G75" s="124">
        <v>3</v>
      </c>
      <c r="H75" s="124">
        <v>9</v>
      </c>
      <c r="I75" s="124">
        <v>6</v>
      </c>
      <c r="J75" s="124">
        <v>3</v>
      </c>
      <c r="K75" s="124">
        <f t="shared" si="72"/>
        <v>9</v>
      </c>
      <c r="L75" s="124">
        <f t="shared" si="73"/>
        <v>6</v>
      </c>
      <c r="M75" s="124">
        <f t="shared" si="74"/>
        <v>3</v>
      </c>
      <c r="N75" s="124">
        <f t="shared" si="75"/>
        <v>0</v>
      </c>
      <c r="O75" s="124">
        <f t="shared" si="76"/>
        <v>0</v>
      </c>
      <c r="P75" s="124">
        <f t="shared" si="77"/>
        <v>0</v>
      </c>
      <c r="Q75" s="147"/>
      <c r="R75" s="117">
        <v>2620</v>
      </c>
      <c r="S75" s="108">
        <v>2620</v>
      </c>
      <c r="T75" s="108">
        <v>1</v>
      </c>
      <c r="U75" s="117">
        <v>4636</v>
      </c>
      <c r="V75" s="108">
        <v>4636</v>
      </c>
      <c r="W75" s="108">
        <v>0</v>
      </c>
    </row>
    <row r="76" ht="14.25" customHeight="1" spans="1:23">
      <c r="A76" s="75" t="s">
        <v>77</v>
      </c>
      <c r="B76" s="140">
        <f t="shared" si="69"/>
        <v>-1</v>
      </c>
      <c r="C76" s="140">
        <f t="shared" si="70"/>
        <v>-1</v>
      </c>
      <c r="D76" s="140">
        <f t="shared" si="71"/>
        <v>0</v>
      </c>
      <c r="E76" s="124">
        <v>31</v>
      </c>
      <c r="F76" s="124">
        <v>21</v>
      </c>
      <c r="G76" s="124">
        <v>10</v>
      </c>
      <c r="H76" s="124">
        <v>21</v>
      </c>
      <c r="I76" s="124">
        <v>14</v>
      </c>
      <c r="J76" s="124">
        <v>7</v>
      </c>
      <c r="K76" s="124">
        <f t="shared" si="72"/>
        <v>30</v>
      </c>
      <c r="L76" s="124">
        <f t="shared" si="73"/>
        <v>20</v>
      </c>
      <c r="M76" s="124">
        <f t="shared" si="74"/>
        <v>10</v>
      </c>
      <c r="N76" s="124">
        <f t="shared" si="75"/>
        <v>9</v>
      </c>
      <c r="O76" s="124">
        <f t="shared" si="76"/>
        <v>6</v>
      </c>
      <c r="P76" s="124">
        <f t="shared" si="77"/>
        <v>3</v>
      </c>
      <c r="Q76" s="146" t="s">
        <v>137</v>
      </c>
      <c r="R76" s="117">
        <v>6349</v>
      </c>
      <c r="S76" s="108">
        <v>6349</v>
      </c>
      <c r="T76" s="108">
        <v>269</v>
      </c>
      <c r="U76" s="117">
        <v>10789</v>
      </c>
      <c r="V76" s="108">
        <v>10789</v>
      </c>
      <c r="W76" s="108">
        <v>112</v>
      </c>
    </row>
    <row r="77" ht="14.25" customHeight="1" spans="1:23">
      <c r="A77" s="75" t="s">
        <v>78</v>
      </c>
      <c r="B77" s="140">
        <f t="shared" si="69"/>
        <v>3</v>
      </c>
      <c r="C77" s="140">
        <f t="shared" si="70"/>
        <v>2</v>
      </c>
      <c r="D77" s="140">
        <f t="shared" si="71"/>
        <v>1</v>
      </c>
      <c r="E77" s="124">
        <v>19</v>
      </c>
      <c r="F77" s="124">
        <v>13</v>
      </c>
      <c r="G77" s="124">
        <v>6</v>
      </c>
      <c r="H77" s="142">
        <v>36</v>
      </c>
      <c r="I77" s="142">
        <v>24</v>
      </c>
      <c r="J77" s="142">
        <v>12</v>
      </c>
      <c r="K77" s="142">
        <f t="shared" si="72"/>
        <v>22</v>
      </c>
      <c r="L77" s="142">
        <f t="shared" si="73"/>
        <v>15</v>
      </c>
      <c r="M77" s="142">
        <f t="shared" si="74"/>
        <v>7</v>
      </c>
      <c r="N77" s="142">
        <f t="shared" si="75"/>
        <v>-14</v>
      </c>
      <c r="O77" s="142">
        <f t="shared" si="76"/>
        <v>-9</v>
      </c>
      <c r="P77" s="142">
        <f t="shared" si="77"/>
        <v>-5</v>
      </c>
      <c r="Q77" s="146" t="s">
        <v>137</v>
      </c>
      <c r="R77" s="117">
        <v>3235</v>
      </c>
      <c r="S77" s="108">
        <v>3138</v>
      </c>
      <c r="T77" s="108">
        <v>368</v>
      </c>
      <c r="U77" s="117">
        <v>5647</v>
      </c>
      <c r="V77" s="108">
        <v>5566</v>
      </c>
      <c r="W77" s="108">
        <v>155</v>
      </c>
    </row>
    <row r="78" ht="14.25" customHeight="1" spans="1:23">
      <c r="A78" s="75" t="s">
        <v>79</v>
      </c>
      <c r="B78" s="140">
        <f t="shared" si="69"/>
        <v>-3</v>
      </c>
      <c r="C78" s="140">
        <f t="shared" si="70"/>
        <v>-2</v>
      </c>
      <c r="D78" s="140">
        <f t="shared" si="71"/>
        <v>-1</v>
      </c>
      <c r="E78" s="124">
        <v>15</v>
      </c>
      <c r="F78" s="124">
        <v>10</v>
      </c>
      <c r="G78" s="124">
        <v>5</v>
      </c>
      <c r="H78" s="124">
        <v>10</v>
      </c>
      <c r="I78" s="124">
        <v>7</v>
      </c>
      <c r="J78" s="124">
        <v>3</v>
      </c>
      <c r="K78" s="124">
        <f t="shared" si="72"/>
        <v>12</v>
      </c>
      <c r="L78" s="124">
        <f t="shared" si="73"/>
        <v>8</v>
      </c>
      <c r="M78" s="124">
        <f t="shared" si="74"/>
        <v>4</v>
      </c>
      <c r="N78" s="124">
        <f t="shared" si="75"/>
        <v>2</v>
      </c>
      <c r="O78" s="124">
        <f t="shared" si="76"/>
        <v>1</v>
      </c>
      <c r="P78" s="124">
        <f t="shared" si="77"/>
        <v>1</v>
      </c>
      <c r="Q78" s="146" t="s">
        <v>137</v>
      </c>
      <c r="R78" s="117">
        <v>1365</v>
      </c>
      <c r="S78" s="108">
        <v>1365</v>
      </c>
      <c r="T78" s="108">
        <v>270</v>
      </c>
      <c r="U78" s="117">
        <v>2329</v>
      </c>
      <c r="V78" s="108">
        <v>2329</v>
      </c>
      <c r="W78" s="108">
        <v>85</v>
      </c>
    </row>
    <row r="79" ht="14.25" customHeight="1" spans="1:23">
      <c r="A79" s="75" t="s">
        <v>80</v>
      </c>
      <c r="B79" s="140">
        <f t="shared" si="69"/>
        <v>1</v>
      </c>
      <c r="C79" s="140">
        <f t="shared" si="70"/>
        <v>0</v>
      </c>
      <c r="D79" s="140">
        <f t="shared" si="71"/>
        <v>1</v>
      </c>
      <c r="E79" s="124">
        <v>17</v>
      </c>
      <c r="F79" s="124">
        <v>12</v>
      </c>
      <c r="G79" s="124">
        <v>5</v>
      </c>
      <c r="H79" s="124">
        <v>18</v>
      </c>
      <c r="I79" s="124">
        <v>12</v>
      </c>
      <c r="J79" s="124">
        <v>6</v>
      </c>
      <c r="K79" s="124">
        <f t="shared" si="72"/>
        <v>18</v>
      </c>
      <c r="L79" s="124">
        <f t="shared" si="73"/>
        <v>12</v>
      </c>
      <c r="M79" s="124">
        <f t="shared" si="74"/>
        <v>6</v>
      </c>
      <c r="N79" s="124">
        <f t="shared" si="75"/>
        <v>0</v>
      </c>
      <c r="O79" s="124">
        <f t="shared" si="76"/>
        <v>0</v>
      </c>
      <c r="P79" s="124">
        <f t="shared" si="77"/>
        <v>0</v>
      </c>
      <c r="Q79" s="146" t="s">
        <v>137</v>
      </c>
      <c r="R79" s="117">
        <v>2913</v>
      </c>
      <c r="S79" s="108">
        <v>2913</v>
      </c>
      <c r="T79" s="108">
        <v>281</v>
      </c>
      <c r="U79" s="117">
        <v>4875</v>
      </c>
      <c r="V79" s="108">
        <v>4875</v>
      </c>
      <c r="W79" s="108">
        <v>92</v>
      </c>
    </row>
    <row r="80" ht="14.25" customHeight="1" spans="1:23">
      <c r="A80" s="76" t="s">
        <v>81</v>
      </c>
      <c r="B80" s="110">
        <f>SUM(B81:B83)</f>
        <v>32</v>
      </c>
      <c r="C80" s="110">
        <f>SUM(C81:C83)</f>
        <v>21</v>
      </c>
      <c r="D80" s="110">
        <f>SUM(D81:D83)</f>
        <v>11</v>
      </c>
      <c r="E80" s="110">
        <v>77</v>
      </c>
      <c r="F80" s="110">
        <v>52</v>
      </c>
      <c r="G80" s="110">
        <v>25</v>
      </c>
      <c r="H80" s="110">
        <v>31</v>
      </c>
      <c r="I80" s="110">
        <v>21</v>
      </c>
      <c r="J80" s="110">
        <v>10</v>
      </c>
      <c r="K80" s="110">
        <f t="shared" ref="K80:P80" si="78">SUM(K81:K83)</f>
        <v>109</v>
      </c>
      <c r="L80" s="110">
        <f t="shared" si="78"/>
        <v>73</v>
      </c>
      <c r="M80" s="110">
        <f t="shared" si="78"/>
        <v>36</v>
      </c>
      <c r="N80" s="110">
        <f t="shared" si="78"/>
        <v>78</v>
      </c>
      <c r="O80" s="110">
        <f t="shared" si="78"/>
        <v>52</v>
      </c>
      <c r="P80" s="110">
        <f t="shared" si="78"/>
        <v>26</v>
      </c>
      <c r="Q80" s="146" t="s">
        <v>137</v>
      </c>
      <c r="R80" s="110">
        <f t="shared" ref="R80:W80" si="79">SUM(R81:R83)</f>
        <v>22896</v>
      </c>
      <c r="S80" s="110">
        <f t="shared" si="79"/>
        <v>21777</v>
      </c>
      <c r="T80" s="110">
        <f t="shared" si="79"/>
        <v>1015</v>
      </c>
      <c r="U80" s="110">
        <f t="shared" si="79"/>
        <v>38355</v>
      </c>
      <c r="V80" s="110">
        <f t="shared" si="79"/>
        <v>37703</v>
      </c>
      <c r="W80" s="110">
        <f t="shared" si="79"/>
        <v>590</v>
      </c>
    </row>
    <row r="81" ht="14.25" customHeight="1" spans="1:23">
      <c r="A81" s="71" t="s">
        <v>26</v>
      </c>
      <c r="B81" s="140">
        <f t="shared" ref="B81:B87" si="80">C81+D81</f>
        <v>43</v>
      </c>
      <c r="C81" s="140">
        <f t="shared" ref="C81:C87" si="81">L81-F81</f>
        <v>29</v>
      </c>
      <c r="D81" s="140">
        <f t="shared" ref="D81:D87" si="82">M81-G81</f>
        <v>14</v>
      </c>
      <c r="E81" s="124">
        <v>11</v>
      </c>
      <c r="F81" s="124">
        <v>7</v>
      </c>
      <c r="G81" s="124">
        <v>4</v>
      </c>
      <c r="H81" s="124">
        <v>12</v>
      </c>
      <c r="I81" s="124">
        <v>8</v>
      </c>
      <c r="J81" s="124">
        <v>4</v>
      </c>
      <c r="K81" s="124">
        <f t="shared" ref="K81:K87" si="83">SUM(L81:M81)</f>
        <v>54</v>
      </c>
      <c r="L81" s="124">
        <f t="shared" ref="L81:L87" si="84">ROUND((T81*1250+W81*1000)*25%*0.5/10000,0)+ROUND(((R81-T81)*1250*50%*3%+(U81-W81)*1000*50%*3%)*0.5/10000,0)</f>
        <v>36</v>
      </c>
      <c r="M81" s="124">
        <f t="shared" ref="M81:M87" si="85">ROUND((T81*1250+W81*1000)*25%*0.25/10000,0)+ROUND(((R81-T81)*1250*50%*3%+(U81-W81)*1000*50%*3%)*0.25/10000,0)</f>
        <v>18</v>
      </c>
      <c r="N81" s="124">
        <f t="shared" ref="N81:N87" si="86">O81+P81</f>
        <v>42</v>
      </c>
      <c r="O81" s="124">
        <f t="shared" ref="O81:O87" si="87">L81-I81</f>
        <v>28</v>
      </c>
      <c r="P81" s="124">
        <f t="shared" ref="P81:P87" si="88">M81-J81</f>
        <v>14</v>
      </c>
      <c r="Q81" s="147"/>
      <c r="R81" s="117">
        <v>9660</v>
      </c>
      <c r="S81" s="108">
        <v>8926</v>
      </c>
      <c r="T81" s="108">
        <v>630</v>
      </c>
      <c r="U81" s="117">
        <v>18145</v>
      </c>
      <c r="V81" s="108">
        <v>17790</v>
      </c>
      <c r="W81" s="108">
        <v>293</v>
      </c>
    </row>
    <row r="82" ht="14.25" customHeight="1" spans="1:23">
      <c r="A82" s="71" t="s">
        <v>82</v>
      </c>
      <c r="B82" s="140">
        <f t="shared" si="80"/>
        <v>12</v>
      </c>
      <c r="C82" s="140">
        <f t="shared" si="81"/>
        <v>8</v>
      </c>
      <c r="D82" s="140">
        <f t="shared" si="82"/>
        <v>4</v>
      </c>
      <c r="E82" s="124">
        <v>43</v>
      </c>
      <c r="F82" s="124">
        <v>29</v>
      </c>
      <c r="G82" s="124">
        <v>14</v>
      </c>
      <c r="H82" s="124">
        <v>19</v>
      </c>
      <c r="I82" s="124">
        <v>13</v>
      </c>
      <c r="J82" s="124">
        <v>6</v>
      </c>
      <c r="K82" s="124">
        <f t="shared" si="83"/>
        <v>55</v>
      </c>
      <c r="L82" s="124">
        <f t="shared" si="84"/>
        <v>37</v>
      </c>
      <c r="M82" s="124">
        <f t="shared" si="85"/>
        <v>18</v>
      </c>
      <c r="N82" s="124">
        <f t="shared" si="86"/>
        <v>36</v>
      </c>
      <c r="O82" s="124">
        <f t="shared" si="87"/>
        <v>24</v>
      </c>
      <c r="P82" s="124">
        <f t="shared" si="88"/>
        <v>12</v>
      </c>
      <c r="Q82" s="147"/>
      <c r="R82" s="117">
        <v>13236</v>
      </c>
      <c r="S82" s="108">
        <v>12851</v>
      </c>
      <c r="T82" s="108">
        <v>385</v>
      </c>
      <c r="U82" s="117">
        <v>20210</v>
      </c>
      <c r="V82" s="108">
        <v>19913</v>
      </c>
      <c r="W82" s="108">
        <v>297</v>
      </c>
    </row>
    <row r="83" ht="14.25" customHeight="1" spans="1:23">
      <c r="A83" s="71" t="s">
        <v>138</v>
      </c>
      <c r="B83" s="140">
        <f t="shared" si="80"/>
        <v>-23</v>
      </c>
      <c r="C83" s="140">
        <f t="shared" si="81"/>
        <v>-16</v>
      </c>
      <c r="D83" s="140">
        <f t="shared" si="82"/>
        <v>-7</v>
      </c>
      <c r="E83" s="124">
        <v>23</v>
      </c>
      <c r="F83" s="124">
        <v>16</v>
      </c>
      <c r="G83" s="124">
        <v>7</v>
      </c>
      <c r="H83" s="124">
        <v>0</v>
      </c>
      <c r="I83" s="124">
        <v>0</v>
      </c>
      <c r="J83" s="124">
        <v>0</v>
      </c>
      <c r="K83" s="124">
        <f t="shared" si="83"/>
        <v>0</v>
      </c>
      <c r="L83" s="124">
        <f t="shared" si="84"/>
        <v>0</v>
      </c>
      <c r="M83" s="124">
        <f t="shared" si="85"/>
        <v>0</v>
      </c>
      <c r="N83" s="124">
        <f t="shared" si="86"/>
        <v>0</v>
      </c>
      <c r="O83" s="124">
        <f t="shared" si="87"/>
        <v>0</v>
      </c>
      <c r="P83" s="124">
        <f t="shared" si="88"/>
        <v>0</v>
      </c>
      <c r="Q83" s="147"/>
      <c r="R83" s="117"/>
      <c r="S83" s="108"/>
      <c r="T83" s="108"/>
      <c r="U83" s="117"/>
      <c r="V83" s="108"/>
      <c r="W83" s="108"/>
    </row>
    <row r="84" ht="14.25" customHeight="1" spans="1:23">
      <c r="A84" s="75" t="s">
        <v>84</v>
      </c>
      <c r="B84" s="140">
        <f t="shared" si="80"/>
        <v>-6</v>
      </c>
      <c r="C84" s="140">
        <f t="shared" si="81"/>
        <v>-7</v>
      </c>
      <c r="D84" s="140">
        <f t="shared" si="82"/>
        <v>1</v>
      </c>
      <c r="E84" s="124">
        <v>132</v>
      </c>
      <c r="F84" s="124">
        <v>91</v>
      </c>
      <c r="G84" s="124">
        <v>41</v>
      </c>
      <c r="H84" s="124">
        <v>125</v>
      </c>
      <c r="I84" s="124">
        <v>83</v>
      </c>
      <c r="J84" s="124">
        <v>42</v>
      </c>
      <c r="K84" s="124">
        <f t="shared" si="83"/>
        <v>126</v>
      </c>
      <c r="L84" s="124">
        <f t="shared" si="84"/>
        <v>84</v>
      </c>
      <c r="M84" s="124">
        <f t="shared" si="85"/>
        <v>42</v>
      </c>
      <c r="N84" s="124">
        <f t="shared" si="86"/>
        <v>1</v>
      </c>
      <c r="O84" s="124">
        <f t="shared" si="87"/>
        <v>1</v>
      </c>
      <c r="P84" s="124">
        <f t="shared" si="88"/>
        <v>0</v>
      </c>
      <c r="Q84" s="146" t="s">
        <v>137</v>
      </c>
      <c r="R84" s="117">
        <v>17519</v>
      </c>
      <c r="S84" s="108">
        <v>17519</v>
      </c>
      <c r="T84" s="108">
        <v>3184</v>
      </c>
      <c r="U84" s="117">
        <v>27568</v>
      </c>
      <c r="V84" s="108">
        <v>27568</v>
      </c>
      <c r="W84" s="108">
        <v>0</v>
      </c>
    </row>
    <row r="85" ht="14.25" customHeight="1" spans="1:23">
      <c r="A85" s="75" t="s">
        <v>85</v>
      </c>
      <c r="B85" s="140">
        <f t="shared" si="80"/>
        <v>35</v>
      </c>
      <c r="C85" s="140">
        <f t="shared" si="81"/>
        <v>16</v>
      </c>
      <c r="D85" s="140">
        <f t="shared" si="82"/>
        <v>19</v>
      </c>
      <c r="E85" s="124">
        <v>305</v>
      </c>
      <c r="F85" s="124">
        <v>210</v>
      </c>
      <c r="G85" s="124">
        <v>95</v>
      </c>
      <c r="H85" s="124">
        <v>301</v>
      </c>
      <c r="I85" s="124">
        <v>201</v>
      </c>
      <c r="J85" s="124">
        <v>100</v>
      </c>
      <c r="K85" s="124">
        <f t="shared" si="83"/>
        <v>340</v>
      </c>
      <c r="L85" s="124">
        <f t="shared" si="84"/>
        <v>226</v>
      </c>
      <c r="M85" s="124">
        <f t="shared" si="85"/>
        <v>114</v>
      </c>
      <c r="N85" s="124">
        <f t="shared" si="86"/>
        <v>39</v>
      </c>
      <c r="O85" s="124">
        <f t="shared" si="87"/>
        <v>25</v>
      </c>
      <c r="P85" s="124">
        <f t="shared" si="88"/>
        <v>14</v>
      </c>
      <c r="Q85" s="146" t="s">
        <v>137</v>
      </c>
      <c r="R85" s="117">
        <v>19003</v>
      </c>
      <c r="S85" s="108">
        <v>18819</v>
      </c>
      <c r="T85" s="108">
        <v>12502</v>
      </c>
      <c r="U85" s="117">
        <v>30819</v>
      </c>
      <c r="V85" s="108">
        <v>30688</v>
      </c>
      <c r="W85" s="108">
        <v>157</v>
      </c>
    </row>
    <row r="86" ht="14.25" customHeight="1" spans="1:23">
      <c r="A86" s="75" t="s">
        <v>86</v>
      </c>
      <c r="B86" s="140">
        <f t="shared" si="80"/>
        <v>0</v>
      </c>
      <c r="C86" s="140">
        <f t="shared" si="81"/>
        <v>-1</v>
      </c>
      <c r="D86" s="140">
        <f t="shared" si="82"/>
        <v>1</v>
      </c>
      <c r="E86" s="124">
        <v>20</v>
      </c>
      <c r="F86" s="124">
        <v>14</v>
      </c>
      <c r="G86" s="124">
        <v>6</v>
      </c>
      <c r="H86" s="124">
        <v>16</v>
      </c>
      <c r="I86" s="124">
        <v>11</v>
      </c>
      <c r="J86" s="124">
        <v>5</v>
      </c>
      <c r="K86" s="124">
        <f t="shared" si="83"/>
        <v>20</v>
      </c>
      <c r="L86" s="124">
        <f t="shared" si="84"/>
        <v>13</v>
      </c>
      <c r="M86" s="124">
        <f t="shared" si="85"/>
        <v>7</v>
      </c>
      <c r="N86" s="124">
        <f t="shared" si="86"/>
        <v>4</v>
      </c>
      <c r="O86" s="124">
        <f t="shared" si="87"/>
        <v>2</v>
      </c>
      <c r="P86" s="124">
        <f t="shared" si="88"/>
        <v>2</v>
      </c>
      <c r="Q86" s="146" t="s">
        <v>137</v>
      </c>
      <c r="R86" s="117">
        <v>5967</v>
      </c>
      <c r="S86" s="108">
        <v>5967</v>
      </c>
      <c r="T86" s="108">
        <v>0</v>
      </c>
      <c r="U86" s="117">
        <v>10535</v>
      </c>
      <c r="V86" s="108">
        <v>10535</v>
      </c>
      <c r="W86" s="108">
        <v>0</v>
      </c>
    </row>
    <row r="87" ht="14.25" customHeight="1" spans="1:23">
      <c r="A87" s="75" t="s">
        <v>87</v>
      </c>
      <c r="B87" s="140">
        <f t="shared" si="80"/>
        <v>38</v>
      </c>
      <c r="C87" s="140">
        <f t="shared" si="81"/>
        <v>23</v>
      </c>
      <c r="D87" s="140">
        <f t="shared" si="82"/>
        <v>15</v>
      </c>
      <c r="E87" s="124">
        <v>131</v>
      </c>
      <c r="F87" s="124">
        <v>90</v>
      </c>
      <c r="G87" s="124">
        <v>41</v>
      </c>
      <c r="H87" s="124">
        <v>54</v>
      </c>
      <c r="I87" s="124">
        <v>36</v>
      </c>
      <c r="J87" s="124">
        <v>18</v>
      </c>
      <c r="K87" s="124">
        <f t="shared" si="83"/>
        <v>169</v>
      </c>
      <c r="L87" s="124">
        <f t="shared" si="84"/>
        <v>113</v>
      </c>
      <c r="M87" s="124">
        <f t="shared" si="85"/>
        <v>56</v>
      </c>
      <c r="N87" s="124">
        <f t="shared" si="86"/>
        <v>115</v>
      </c>
      <c r="O87" s="124">
        <f t="shared" si="87"/>
        <v>77</v>
      </c>
      <c r="P87" s="124">
        <f t="shared" si="88"/>
        <v>38</v>
      </c>
      <c r="Q87" s="146" t="s">
        <v>137</v>
      </c>
      <c r="R87" s="117">
        <v>16444</v>
      </c>
      <c r="S87" s="108">
        <v>12923</v>
      </c>
      <c r="T87" s="108">
        <v>4849</v>
      </c>
      <c r="U87" s="117">
        <v>27299</v>
      </c>
      <c r="V87" s="108">
        <v>25737</v>
      </c>
      <c r="W87" s="108">
        <v>517</v>
      </c>
    </row>
    <row r="88" ht="14.25" customHeight="1" spans="1:23">
      <c r="A88" s="76" t="s">
        <v>88</v>
      </c>
      <c r="B88" s="110">
        <f>SUM(B89:B90)</f>
        <v>58</v>
      </c>
      <c r="C88" s="110">
        <f>SUM(C89:C90)</f>
        <v>36</v>
      </c>
      <c r="D88" s="110">
        <f>SUM(D89:D90)</f>
        <v>22</v>
      </c>
      <c r="E88" s="110">
        <v>106</v>
      </c>
      <c r="F88" s="110">
        <v>73</v>
      </c>
      <c r="G88" s="110">
        <v>33</v>
      </c>
      <c r="H88" s="110">
        <v>107</v>
      </c>
      <c r="I88" s="110">
        <v>72</v>
      </c>
      <c r="J88" s="110">
        <v>35</v>
      </c>
      <c r="K88" s="110">
        <f t="shared" ref="K88:P88" si="89">SUM(K89:K90)</f>
        <v>164</v>
      </c>
      <c r="L88" s="110">
        <f t="shared" si="89"/>
        <v>109</v>
      </c>
      <c r="M88" s="110">
        <f t="shared" si="89"/>
        <v>55</v>
      </c>
      <c r="N88" s="110">
        <f t="shared" si="89"/>
        <v>57</v>
      </c>
      <c r="O88" s="110">
        <f t="shared" si="89"/>
        <v>37</v>
      </c>
      <c r="P88" s="110">
        <f t="shared" si="89"/>
        <v>20</v>
      </c>
      <c r="Q88" s="146" t="s">
        <v>137</v>
      </c>
      <c r="R88" s="110">
        <f t="shared" ref="R88:W88" si="90">SUM(R89:R90)</f>
        <v>14219</v>
      </c>
      <c r="S88" s="110">
        <f t="shared" si="90"/>
        <v>10005</v>
      </c>
      <c r="T88" s="110">
        <f t="shared" si="90"/>
        <v>4580</v>
      </c>
      <c r="U88" s="110">
        <f t="shared" si="90"/>
        <v>21453</v>
      </c>
      <c r="V88" s="110">
        <f t="shared" si="90"/>
        <v>20431</v>
      </c>
      <c r="W88" s="110">
        <f t="shared" si="90"/>
        <v>1056</v>
      </c>
    </row>
    <row r="89" ht="14.25" customHeight="1" spans="1:23">
      <c r="A89" s="71" t="s">
        <v>26</v>
      </c>
      <c r="B89" s="140">
        <f t="shared" ref="B89:B94" si="91">C89+D89</f>
        <v>55</v>
      </c>
      <c r="C89" s="140">
        <f t="shared" ref="C89:C94" si="92">L89-F89</f>
        <v>36</v>
      </c>
      <c r="D89" s="140">
        <f t="shared" ref="D89:D94" si="93">M89-G89</f>
        <v>19</v>
      </c>
      <c r="E89" s="124">
        <v>7</v>
      </c>
      <c r="F89" s="124">
        <v>5</v>
      </c>
      <c r="G89" s="124">
        <v>2</v>
      </c>
      <c r="H89" s="124">
        <v>10</v>
      </c>
      <c r="I89" s="124">
        <v>7</v>
      </c>
      <c r="J89" s="124">
        <v>3</v>
      </c>
      <c r="K89" s="124">
        <f t="shared" ref="K89:K94" si="94">SUM(L89:M89)</f>
        <v>62</v>
      </c>
      <c r="L89" s="124">
        <f t="shared" ref="L89:L94" si="95">ROUND((T89*1250+W89*1000)*25%*0.5/10000,0)+ROUND(((R89-T89)*1250*50%*3%+(U89-W89)*1000*50%*3%)*0.5/10000,0)</f>
        <v>41</v>
      </c>
      <c r="M89" s="124">
        <f t="shared" ref="M89:M94" si="96">ROUND((T89*1250+W89*1000)*25%*0.25/10000,0)+ROUND(((R89-T89)*1250*50%*3%+(U89-W89)*1000*50%*3%)*0.25/10000,0)</f>
        <v>21</v>
      </c>
      <c r="N89" s="124">
        <f t="shared" ref="N89:N94" si="97">O89+P89</f>
        <v>52</v>
      </c>
      <c r="O89" s="124">
        <f t="shared" ref="O89:O94" si="98">L89-I89</f>
        <v>34</v>
      </c>
      <c r="P89" s="124">
        <f t="shared" ref="P89:P94" si="99">M89-J89</f>
        <v>18</v>
      </c>
      <c r="Q89" s="147"/>
      <c r="R89" s="117">
        <v>4214</v>
      </c>
      <c r="S89" s="108">
        <v>0</v>
      </c>
      <c r="T89" s="108">
        <v>2350</v>
      </c>
      <c r="U89" s="117">
        <v>1022</v>
      </c>
      <c r="V89" s="108">
        <v>0</v>
      </c>
      <c r="W89" s="108">
        <v>203</v>
      </c>
    </row>
    <row r="90" ht="14.25" customHeight="1" spans="1:23">
      <c r="A90" s="71" t="s">
        <v>89</v>
      </c>
      <c r="B90" s="140">
        <f t="shared" si="91"/>
        <v>3</v>
      </c>
      <c r="C90" s="140">
        <f t="shared" si="92"/>
        <v>0</v>
      </c>
      <c r="D90" s="140">
        <f t="shared" si="93"/>
        <v>3</v>
      </c>
      <c r="E90" s="124">
        <v>99</v>
      </c>
      <c r="F90" s="124">
        <v>68</v>
      </c>
      <c r="G90" s="124">
        <v>31</v>
      </c>
      <c r="H90" s="124">
        <v>97</v>
      </c>
      <c r="I90" s="124">
        <v>65</v>
      </c>
      <c r="J90" s="124">
        <v>32</v>
      </c>
      <c r="K90" s="124">
        <f t="shared" si="94"/>
        <v>102</v>
      </c>
      <c r="L90" s="124">
        <f t="shared" si="95"/>
        <v>68</v>
      </c>
      <c r="M90" s="124">
        <f t="shared" si="96"/>
        <v>34</v>
      </c>
      <c r="N90" s="124">
        <f t="shared" si="97"/>
        <v>5</v>
      </c>
      <c r="O90" s="124">
        <f t="shared" si="98"/>
        <v>3</v>
      </c>
      <c r="P90" s="124">
        <f t="shared" si="99"/>
        <v>2</v>
      </c>
      <c r="Q90" s="147"/>
      <c r="R90" s="117">
        <v>10005</v>
      </c>
      <c r="S90" s="108">
        <v>10005</v>
      </c>
      <c r="T90" s="108">
        <v>2230</v>
      </c>
      <c r="U90" s="117">
        <v>20431</v>
      </c>
      <c r="V90" s="108">
        <v>20431</v>
      </c>
      <c r="W90" s="108">
        <v>853</v>
      </c>
    </row>
    <row r="91" ht="14.25" customHeight="1" spans="1:23">
      <c r="A91" s="75" t="s">
        <v>90</v>
      </c>
      <c r="B91" s="140">
        <f t="shared" si="91"/>
        <v>1</v>
      </c>
      <c r="C91" s="140">
        <f t="shared" si="92"/>
        <v>-1</v>
      </c>
      <c r="D91" s="140">
        <f t="shared" si="93"/>
        <v>2</v>
      </c>
      <c r="E91" s="124">
        <v>52</v>
      </c>
      <c r="F91" s="124">
        <v>36</v>
      </c>
      <c r="G91" s="124">
        <v>16</v>
      </c>
      <c r="H91" s="142">
        <v>91</v>
      </c>
      <c r="I91" s="142">
        <v>61</v>
      </c>
      <c r="J91" s="142">
        <v>30</v>
      </c>
      <c r="K91" s="142">
        <f t="shared" si="94"/>
        <v>53</v>
      </c>
      <c r="L91" s="142">
        <f t="shared" si="95"/>
        <v>35</v>
      </c>
      <c r="M91" s="142">
        <f t="shared" si="96"/>
        <v>18</v>
      </c>
      <c r="N91" s="142">
        <f t="shared" si="97"/>
        <v>-38</v>
      </c>
      <c r="O91" s="142">
        <f t="shared" si="98"/>
        <v>-26</v>
      </c>
      <c r="P91" s="142">
        <f t="shared" si="99"/>
        <v>-12</v>
      </c>
      <c r="Q91" s="146" t="s">
        <v>137</v>
      </c>
      <c r="R91" s="117">
        <v>6472</v>
      </c>
      <c r="S91" s="108">
        <v>6472</v>
      </c>
      <c r="T91" s="108">
        <v>1434</v>
      </c>
      <c r="U91" s="117">
        <v>10365</v>
      </c>
      <c r="V91" s="108">
        <v>10365</v>
      </c>
      <c r="W91" s="108">
        <v>87</v>
      </c>
    </row>
    <row r="92" ht="14.25" customHeight="1" spans="1:23">
      <c r="A92" s="75" t="s">
        <v>91</v>
      </c>
      <c r="B92" s="140">
        <f t="shared" si="91"/>
        <v>-3</v>
      </c>
      <c r="C92" s="140">
        <f t="shared" si="92"/>
        <v>-7</v>
      </c>
      <c r="D92" s="140">
        <f t="shared" si="93"/>
        <v>4</v>
      </c>
      <c r="E92" s="124">
        <v>166</v>
      </c>
      <c r="F92" s="124">
        <v>116</v>
      </c>
      <c r="G92" s="124">
        <v>50</v>
      </c>
      <c r="H92" s="124">
        <v>144</v>
      </c>
      <c r="I92" s="124">
        <v>96</v>
      </c>
      <c r="J92" s="124">
        <v>48</v>
      </c>
      <c r="K92" s="124">
        <f t="shared" si="94"/>
        <v>163</v>
      </c>
      <c r="L92" s="124">
        <f t="shared" si="95"/>
        <v>109</v>
      </c>
      <c r="M92" s="124">
        <f t="shared" si="96"/>
        <v>54</v>
      </c>
      <c r="N92" s="124">
        <f t="shared" si="97"/>
        <v>19</v>
      </c>
      <c r="O92" s="124">
        <f t="shared" si="98"/>
        <v>13</v>
      </c>
      <c r="P92" s="124">
        <f t="shared" si="99"/>
        <v>6</v>
      </c>
      <c r="Q92" s="146" t="s">
        <v>137</v>
      </c>
      <c r="R92" s="117">
        <v>8985</v>
      </c>
      <c r="S92" s="108">
        <v>7978</v>
      </c>
      <c r="T92" s="108">
        <v>3810</v>
      </c>
      <c r="U92" s="117">
        <v>15316</v>
      </c>
      <c r="V92" s="108">
        <v>14915</v>
      </c>
      <c r="W92" s="108">
        <v>2834</v>
      </c>
    </row>
    <row r="93" ht="14.25" customHeight="1" spans="1:23">
      <c r="A93" s="75" t="s">
        <v>92</v>
      </c>
      <c r="B93" s="140">
        <f t="shared" si="91"/>
        <v>-14</v>
      </c>
      <c r="C93" s="140">
        <f t="shared" si="92"/>
        <v>-13</v>
      </c>
      <c r="D93" s="140">
        <f t="shared" si="93"/>
        <v>-1</v>
      </c>
      <c r="E93" s="124">
        <v>141</v>
      </c>
      <c r="F93" s="124">
        <v>97</v>
      </c>
      <c r="G93" s="124">
        <v>44</v>
      </c>
      <c r="H93" s="124">
        <v>102</v>
      </c>
      <c r="I93" s="124">
        <v>68</v>
      </c>
      <c r="J93" s="124">
        <v>34</v>
      </c>
      <c r="K93" s="124">
        <f t="shared" si="94"/>
        <v>127</v>
      </c>
      <c r="L93" s="124">
        <f t="shared" si="95"/>
        <v>84</v>
      </c>
      <c r="M93" s="124">
        <f t="shared" si="96"/>
        <v>43</v>
      </c>
      <c r="N93" s="124">
        <f t="shared" si="97"/>
        <v>25</v>
      </c>
      <c r="O93" s="124">
        <f t="shared" si="98"/>
        <v>16</v>
      </c>
      <c r="P93" s="124">
        <f t="shared" si="99"/>
        <v>9</v>
      </c>
      <c r="Q93" s="146" t="s">
        <v>137</v>
      </c>
      <c r="R93" s="117">
        <v>9739</v>
      </c>
      <c r="S93" s="108">
        <v>9739</v>
      </c>
      <c r="T93" s="108">
        <v>3778</v>
      </c>
      <c r="U93" s="117">
        <v>16133</v>
      </c>
      <c r="V93" s="108">
        <v>16133</v>
      </c>
      <c r="W93" s="108">
        <v>645</v>
      </c>
    </row>
    <row r="94" ht="14.25" customHeight="1" spans="1:23">
      <c r="A94" s="75" t="s">
        <v>93</v>
      </c>
      <c r="B94" s="140">
        <f t="shared" si="91"/>
        <v>3</v>
      </c>
      <c r="C94" s="140">
        <f t="shared" si="92"/>
        <v>1</v>
      </c>
      <c r="D94" s="140">
        <f t="shared" si="93"/>
        <v>2</v>
      </c>
      <c r="E94" s="124">
        <v>61</v>
      </c>
      <c r="F94" s="124">
        <v>42</v>
      </c>
      <c r="G94" s="124">
        <v>19</v>
      </c>
      <c r="H94" s="142">
        <v>80</v>
      </c>
      <c r="I94" s="142">
        <v>53</v>
      </c>
      <c r="J94" s="142">
        <v>27</v>
      </c>
      <c r="K94" s="142">
        <f t="shared" si="94"/>
        <v>64</v>
      </c>
      <c r="L94" s="142">
        <f t="shared" si="95"/>
        <v>43</v>
      </c>
      <c r="M94" s="142">
        <f t="shared" si="96"/>
        <v>21</v>
      </c>
      <c r="N94" s="142">
        <f t="shared" si="97"/>
        <v>-16</v>
      </c>
      <c r="O94" s="142">
        <f t="shared" si="98"/>
        <v>-10</v>
      </c>
      <c r="P94" s="142">
        <f t="shared" si="99"/>
        <v>-6</v>
      </c>
      <c r="Q94" s="146" t="s">
        <v>137</v>
      </c>
      <c r="R94" s="117">
        <v>7293</v>
      </c>
      <c r="S94" s="108">
        <v>7293</v>
      </c>
      <c r="T94" s="108">
        <v>1832</v>
      </c>
      <c r="U94" s="117">
        <v>11354</v>
      </c>
      <c r="V94" s="108">
        <v>11354</v>
      </c>
      <c r="W94" s="108">
        <v>3</v>
      </c>
    </row>
    <row r="95" ht="14.25" customHeight="1" spans="1:23">
      <c r="A95" s="76" t="s">
        <v>94</v>
      </c>
      <c r="B95" s="110">
        <f>SUM(B96:B104)</f>
        <v>18</v>
      </c>
      <c r="C95" s="110">
        <f>SUM(C96:C104)</f>
        <v>5</v>
      </c>
      <c r="D95" s="110">
        <f>SUM(D96:D104)</f>
        <v>13</v>
      </c>
      <c r="E95" s="110">
        <v>195</v>
      </c>
      <c r="F95" s="110">
        <v>138</v>
      </c>
      <c r="G95" s="110">
        <v>57</v>
      </c>
      <c r="H95" s="110">
        <v>142</v>
      </c>
      <c r="I95" s="110">
        <v>94</v>
      </c>
      <c r="J95" s="110">
        <v>48</v>
      </c>
      <c r="K95" s="110">
        <f t="shared" ref="K95:P95" si="100">SUM(K96:K104)</f>
        <v>213</v>
      </c>
      <c r="L95" s="110">
        <f t="shared" si="100"/>
        <v>143</v>
      </c>
      <c r="M95" s="110">
        <f t="shared" si="100"/>
        <v>70</v>
      </c>
      <c r="N95" s="110">
        <f t="shared" si="100"/>
        <v>71</v>
      </c>
      <c r="O95" s="110">
        <f t="shared" si="100"/>
        <v>49</v>
      </c>
      <c r="P95" s="110">
        <f t="shared" si="100"/>
        <v>22</v>
      </c>
      <c r="Q95" s="146" t="s">
        <v>137</v>
      </c>
      <c r="R95" s="110">
        <f t="shared" ref="R95:W95" si="101">SUM(R96:R104)</f>
        <v>43040</v>
      </c>
      <c r="S95" s="110">
        <f t="shared" si="101"/>
        <v>41938</v>
      </c>
      <c r="T95" s="110">
        <f t="shared" si="101"/>
        <v>2618</v>
      </c>
      <c r="U95" s="110">
        <f t="shared" si="101"/>
        <v>81572</v>
      </c>
      <c r="V95" s="110">
        <f t="shared" si="101"/>
        <v>81572</v>
      </c>
      <c r="W95" s="110">
        <f t="shared" si="101"/>
        <v>289</v>
      </c>
    </row>
    <row r="96" ht="14.25" customHeight="1" spans="1:23">
      <c r="A96" s="71" t="s">
        <v>26</v>
      </c>
      <c r="B96" s="140">
        <f t="shared" ref="B96:B104" si="102">C96+D96</f>
        <v>0</v>
      </c>
      <c r="C96" s="140">
        <f t="shared" ref="C96:C104" si="103">L96-F96</f>
        <v>0</v>
      </c>
      <c r="D96" s="140">
        <f t="shared" ref="D96:D104" si="104">M96-G96</f>
        <v>0</v>
      </c>
      <c r="E96" s="124">
        <v>0</v>
      </c>
      <c r="F96" s="124">
        <v>0</v>
      </c>
      <c r="G96" s="124">
        <v>0</v>
      </c>
      <c r="H96" s="142">
        <v>3</v>
      </c>
      <c r="I96" s="142">
        <v>2</v>
      </c>
      <c r="J96" s="142">
        <v>1</v>
      </c>
      <c r="K96" s="142">
        <f t="shared" ref="K96:K104" si="105">SUM(L96:M96)</f>
        <v>0</v>
      </c>
      <c r="L96" s="142">
        <f t="shared" ref="L96:L104" si="106">ROUND((T96*1250+W96*1000)*25%*0.5/10000,0)+ROUND(((R96-T96)*1250*50%*3%+(U96-W96)*1000*50%*3%)*0.5/10000,0)</f>
        <v>0</v>
      </c>
      <c r="M96" s="142">
        <f t="shared" ref="M96:M104" si="107">ROUND((T96*1250+W96*1000)*25%*0.25/10000,0)+ROUND(((R96-T96)*1250*50%*3%+(U96-W96)*1000*50%*3%)*0.25/10000,0)</f>
        <v>0</v>
      </c>
      <c r="N96" s="142">
        <f t="shared" ref="N96:N104" si="108">O96+P96</f>
        <v>-3</v>
      </c>
      <c r="O96" s="142">
        <f t="shared" ref="O96:O104" si="109">L96-I96</f>
        <v>-2</v>
      </c>
      <c r="P96" s="142">
        <f t="shared" ref="P96:P104" si="110">M96-J96</f>
        <v>-1</v>
      </c>
      <c r="Q96" s="146"/>
      <c r="R96" s="117"/>
      <c r="S96" s="108"/>
      <c r="T96" s="108">
        <v>0</v>
      </c>
      <c r="U96" s="117"/>
      <c r="V96" s="108"/>
      <c r="W96" s="108">
        <v>0</v>
      </c>
    </row>
    <row r="97" s="44" customFormat="1" ht="14.25" customHeight="1" spans="1:23">
      <c r="A97" s="74" t="s">
        <v>95</v>
      </c>
      <c r="B97" s="140">
        <f t="shared" si="102"/>
        <v>28</v>
      </c>
      <c r="C97" s="140">
        <f t="shared" si="103"/>
        <v>17</v>
      </c>
      <c r="D97" s="140">
        <f t="shared" si="104"/>
        <v>11</v>
      </c>
      <c r="E97" s="124">
        <v>54</v>
      </c>
      <c r="F97" s="124">
        <v>38</v>
      </c>
      <c r="G97" s="124">
        <v>16</v>
      </c>
      <c r="H97" s="124">
        <v>16</v>
      </c>
      <c r="I97" s="124">
        <v>11</v>
      </c>
      <c r="J97" s="124">
        <v>5</v>
      </c>
      <c r="K97" s="124">
        <f t="shared" si="105"/>
        <v>82</v>
      </c>
      <c r="L97" s="124">
        <f t="shared" si="106"/>
        <v>55</v>
      </c>
      <c r="M97" s="124">
        <f t="shared" si="107"/>
        <v>27</v>
      </c>
      <c r="N97" s="124">
        <f t="shared" si="108"/>
        <v>66</v>
      </c>
      <c r="O97" s="124">
        <f t="shared" si="109"/>
        <v>44</v>
      </c>
      <c r="P97" s="124">
        <f t="shared" si="110"/>
        <v>22</v>
      </c>
      <c r="Q97" s="146"/>
      <c r="R97" s="117">
        <v>15242</v>
      </c>
      <c r="S97" s="108">
        <v>14140</v>
      </c>
      <c r="T97" s="108">
        <v>1156</v>
      </c>
      <c r="U97" s="117">
        <v>31066</v>
      </c>
      <c r="V97" s="108">
        <v>31066</v>
      </c>
      <c r="W97" s="108">
        <v>0</v>
      </c>
    </row>
    <row r="98" s="44" customFormat="1" ht="14.25" customHeight="1" spans="1:23">
      <c r="A98" s="74" t="s">
        <v>96</v>
      </c>
      <c r="B98" s="140">
        <f t="shared" si="102"/>
        <v>0</v>
      </c>
      <c r="C98" s="140">
        <f t="shared" si="103"/>
        <v>0</v>
      </c>
      <c r="D98" s="140">
        <f t="shared" si="104"/>
        <v>0</v>
      </c>
      <c r="E98" s="124">
        <v>4</v>
      </c>
      <c r="F98" s="124">
        <v>3</v>
      </c>
      <c r="G98" s="124">
        <v>1</v>
      </c>
      <c r="H98" s="124">
        <v>2</v>
      </c>
      <c r="I98" s="124">
        <v>1</v>
      </c>
      <c r="J98" s="124">
        <v>1</v>
      </c>
      <c r="K98" s="124">
        <f t="shared" si="105"/>
        <v>4</v>
      </c>
      <c r="L98" s="124">
        <f t="shared" si="106"/>
        <v>3</v>
      </c>
      <c r="M98" s="124">
        <f t="shared" si="107"/>
        <v>1</v>
      </c>
      <c r="N98" s="124">
        <f t="shared" si="108"/>
        <v>2</v>
      </c>
      <c r="O98" s="124">
        <f t="shared" si="109"/>
        <v>2</v>
      </c>
      <c r="P98" s="124">
        <f t="shared" si="110"/>
        <v>0</v>
      </c>
      <c r="Q98" s="146"/>
      <c r="R98" s="117">
        <v>1115</v>
      </c>
      <c r="S98" s="108">
        <v>1115</v>
      </c>
      <c r="T98" s="108">
        <v>3</v>
      </c>
      <c r="U98" s="117">
        <v>2335</v>
      </c>
      <c r="V98" s="108">
        <v>2335</v>
      </c>
      <c r="W98" s="108">
        <v>3</v>
      </c>
    </row>
    <row r="99" s="44" customFormat="1" ht="14.25" customHeight="1" spans="1:23">
      <c r="A99" s="74" t="s">
        <v>97</v>
      </c>
      <c r="B99" s="140">
        <f t="shared" si="102"/>
        <v>-2</v>
      </c>
      <c r="C99" s="140">
        <f t="shared" si="103"/>
        <v>-3</v>
      </c>
      <c r="D99" s="140">
        <f t="shared" si="104"/>
        <v>1</v>
      </c>
      <c r="E99" s="124">
        <v>55</v>
      </c>
      <c r="F99" s="124">
        <v>38</v>
      </c>
      <c r="G99" s="124">
        <v>17</v>
      </c>
      <c r="H99" s="124">
        <v>36</v>
      </c>
      <c r="I99" s="124">
        <v>24</v>
      </c>
      <c r="J99" s="124">
        <v>12</v>
      </c>
      <c r="K99" s="124">
        <f t="shared" si="105"/>
        <v>53</v>
      </c>
      <c r="L99" s="124">
        <f t="shared" si="106"/>
        <v>35</v>
      </c>
      <c r="M99" s="124">
        <f t="shared" si="107"/>
        <v>18</v>
      </c>
      <c r="N99" s="124">
        <f t="shared" si="108"/>
        <v>17</v>
      </c>
      <c r="O99" s="124">
        <f t="shared" si="109"/>
        <v>11</v>
      </c>
      <c r="P99" s="124">
        <f t="shared" si="110"/>
        <v>6</v>
      </c>
      <c r="Q99" s="146"/>
      <c r="R99" s="117">
        <v>10852</v>
      </c>
      <c r="S99" s="108">
        <v>10852</v>
      </c>
      <c r="T99" s="108">
        <v>658</v>
      </c>
      <c r="U99" s="117">
        <v>18215</v>
      </c>
      <c r="V99" s="108">
        <v>18215</v>
      </c>
      <c r="W99" s="108">
        <v>171</v>
      </c>
    </row>
    <row r="100" s="44" customFormat="1" ht="14.25" customHeight="1" spans="1:23">
      <c r="A100" s="74" t="s">
        <v>98</v>
      </c>
      <c r="B100" s="140">
        <f t="shared" si="102"/>
        <v>1</v>
      </c>
      <c r="C100" s="140">
        <f t="shared" si="103"/>
        <v>0</v>
      </c>
      <c r="D100" s="140">
        <f t="shared" si="104"/>
        <v>1</v>
      </c>
      <c r="E100" s="124">
        <v>21</v>
      </c>
      <c r="F100" s="124">
        <v>14</v>
      </c>
      <c r="G100" s="124">
        <v>7</v>
      </c>
      <c r="H100" s="124">
        <v>9</v>
      </c>
      <c r="I100" s="124">
        <v>6</v>
      </c>
      <c r="J100" s="124">
        <v>3</v>
      </c>
      <c r="K100" s="124">
        <f t="shared" si="105"/>
        <v>22</v>
      </c>
      <c r="L100" s="124">
        <f t="shared" si="106"/>
        <v>14</v>
      </c>
      <c r="M100" s="124">
        <f t="shared" si="107"/>
        <v>8</v>
      </c>
      <c r="N100" s="124">
        <f t="shared" si="108"/>
        <v>13</v>
      </c>
      <c r="O100" s="124">
        <f t="shared" si="109"/>
        <v>8</v>
      </c>
      <c r="P100" s="124">
        <f t="shared" si="110"/>
        <v>5</v>
      </c>
      <c r="Q100" s="146"/>
      <c r="R100" s="117">
        <v>5326</v>
      </c>
      <c r="S100" s="108">
        <v>5326</v>
      </c>
      <c r="T100" s="108">
        <v>73</v>
      </c>
      <c r="U100" s="117">
        <v>11249</v>
      </c>
      <c r="V100" s="108">
        <v>11249</v>
      </c>
      <c r="W100" s="108">
        <v>12</v>
      </c>
    </row>
    <row r="101" s="44" customFormat="1" ht="14.25" customHeight="1" spans="1:23">
      <c r="A101" s="74" t="s">
        <v>99</v>
      </c>
      <c r="B101" s="140">
        <f t="shared" si="102"/>
        <v>0</v>
      </c>
      <c r="C101" s="140">
        <f t="shared" si="103"/>
        <v>0</v>
      </c>
      <c r="D101" s="140">
        <f t="shared" si="104"/>
        <v>0</v>
      </c>
      <c r="E101" s="124">
        <v>7</v>
      </c>
      <c r="F101" s="124">
        <v>5</v>
      </c>
      <c r="G101" s="124">
        <v>2</v>
      </c>
      <c r="H101" s="124">
        <v>5</v>
      </c>
      <c r="I101" s="124">
        <v>3</v>
      </c>
      <c r="J101" s="124">
        <v>2</v>
      </c>
      <c r="K101" s="124">
        <f t="shared" si="105"/>
        <v>7</v>
      </c>
      <c r="L101" s="124">
        <f t="shared" si="106"/>
        <v>5</v>
      </c>
      <c r="M101" s="124">
        <f t="shared" si="107"/>
        <v>2</v>
      </c>
      <c r="N101" s="124">
        <f t="shared" si="108"/>
        <v>2</v>
      </c>
      <c r="O101" s="124">
        <f t="shared" si="109"/>
        <v>2</v>
      </c>
      <c r="P101" s="124">
        <f t="shared" si="110"/>
        <v>0</v>
      </c>
      <c r="Q101" s="146"/>
      <c r="R101" s="117">
        <v>1501</v>
      </c>
      <c r="S101" s="108">
        <v>1501</v>
      </c>
      <c r="T101" s="108">
        <v>26</v>
      </c>
      <c r="U101" s="117">
        <v>3383</v>
      </c>
      <c r="V101" s="108">
        <v>3383</v>
      </c>
      <c r="W101" s="108">
        <v>12</v>
      </c>
    </row>
    <row r="102" s="44" customFormat="1" ht="14.25" customHeight="1" spans="1:23">
      <c r="A102" s="74" t="s">
        <v>100</v>
      </c>
      <c r="B102" s="140">
        <f t="shared" si="102"/>
        <v>-1</v>
      </c>
      <c r="C102" s="140">
        <f t="shared" si="103"/>
        <v>-1</v>
      </c>
      <c r="D102" s="140">
        <f t="shared" si="104"/>
        <v>0</v>
      </c>
      <c r="E102" s="124">
        <v>8</v>
      </c>
      <c r="F102" s="124">
        <v>6</v>
      </c>
      <c r="G102" s="124">
        <v>2</v>
      </c>
      <c r="H102" s="142">
        <v>15</v>
      </c>
      <c r="I102" s="142">
        <v>10</v>
      </c>
      <c r="J102" s="142">
        <v>5</v>
      </c>
      <c r="K102" s="142">
        <f t="shared" si="105"/>
        <v>7</v>
      </c>
      <c r="L102" s="142">
        <f t="shared" si="106"/>
        <v>5</v>
      </c>
      <c r="M102" s="142">
        <f t="shared" si="107"/>
        <v>2</v>
      </c>
      <c r="N102" s="142">
        <f t="shared" si="108"/>
        <v>-8</v>
      </c>
      <c r="O102" s="142">
        <f t="shared" si="109"/>
        <v>-5</v>
      </c>
      <c r="P102" s="142">
        <f t="shared" si="110"/>
        <v>-3</v>
      </c>
      <c r="Q102" s="146"/>
      <c r="R102" s="117">
        <v>1957</v>
      </c>
      <c r="S102" s="108">
        <v>1957</v>
      </c>
      <c r="T102" s="108">
        <v>30</v>
      </c>
      <c r="U102" s="117">
        <v>3686</v>
      </c>
      <c r="V102" s="108">
        <v>3686</v>
      </c>
      <c r="W102" s="108">
        <v>0</v>
      </c>
    </row>
    <row r="103" ht="14.25" customHeight="1" spans="1:23">
      <c r="A103" s="71" t="s">
        <v>101</v>
      </c>
      <c r="B103" s="140">
        <f t="shared" si="102"/>
        <v>-7</v>
      </c>
      <c r="C103" s="140">
        <f t="shared" si="103"/>
        <v>-7</v>
      </c>
      <c r="D103" s="140">
        <f t="shared" si="104"/>
        <v>0</v>
      </c>
      <c r="E103" s="124">
        <v>23</v>
      </c>
      <c r="F103" s="124">
        <v>18</v>
      </c>
      <c r="G103" s="124">
        <v>5</v>
      </c>
      <c r="H103" s="142">
        <v>30</v>
      </c>
      <c r="I103" s="142">
        <v>20</v>
      </c>
      <c r="J103" s="142">
        <v>10</v>
      </c>
      <c r="K103" s="142">
        <f t="shared" si="105"/>
        <v>16</v>
      </c>
      <c r="L103" s="142">
        <f t="shared" si="106"/>
        <v>11</v>
      </c>
      <c r="M103" s="142">
        <f t="shared" si="107"/>
        <v>5</v>
      </c>
      <c r="N103" s="142">
        <f t="shared" si="108"/>
        <v>-14</v>
      </c>
      <c r="O103" s="142">
        <f t="shared" si="109"/>
        <v>-9</v>
      </c>
      <c r="P103" s="142">
        <f t="shared" si="110"/>
        <v>-5</v>
      </c>
      <c r="Q103" s="146"/>
      <c r="R103" s="117">
        <v>3796</v>
      </c>
      <c r="S103" s="108">
        <v>3796</v>
      </c>
      <c r="T103" s="108">
        <v>153</v>
      </c>
      <c r="U103" s="117">
        <v>6345</v>
      </c>
      <c r="V103" s="108">
        <v>6345</v>
      </c>
      <c r="W103" s="108">
        <v>43</v>
      </c>
    </row>
    <row r="104" ht="14.25" customHeight="1" spans="1:23">
      <c r="A104" s="71" t="s">
        <v>102</v>
      </c>
      <c r="B104" s="140">
        <f t="shared" si="102"/>
        <v>-1</v>
      </c>
      <c r="C104" s="140">
        <f t="shared" si="103"/>
        <v>-1</v>
      </c>
      <c r="D104" s="140">
        <f t="shared" si="104"/>
        <v>0</v>
      </c>
      <c r="E104" s="124">
        <v>23</v>
      </c>
      <c r="F104" s="124">
        <v>16</v>
      </c>
      <c r="G104" s="124">
        <v>7</v>
      </c>
      <c r="H104" s="142">
        <v>26</v>
      </c>
      <c r="I104" s="142">
        <v>17</v>
      </c>
      <c r="J104" s="142">
        <v>9</v>
      </c>
      <c r="K104" s="142">
        <f t="shared" si="105"/>
        <v>22</v>
      </c>
      <c r="L104" s="142">
        <f t="shared" si="106"/>
        <v>15</v>
      </c>
      <c r="M104" s="142">
        <f t="shared" si="107"/>
        <v>7</v>
      </c>
      <c r="N104" s="142">
        <f t="shared" si="108"/>
        <v>-4</v>
      </c>
      <c r="O104" s="142">
        <f t="shared" si="109"/>
        <v>-2</v>
      </c>
      <c r="P104" s="142">
        <f t="shared" si="110"/>
        <v>-2</v>
      </c>
      <c r="Q104" s="146"/>
      <c r="R104" s="117">
        <v>3251</v>
      </c>
      <c r="S104" s="108">
        <v>3251</v>
      </c>
      <c r="T104" s="108">
        <v>519</v>
      </c>
      <c r="U104" s="117">
        <v>5293</v>
      </c>
      <c r="V104" s="108">
        <v>5293</v>
      </c>
      <c r="W104" s="108">
        <v>48</v>
      </c>
    </row>
    <row r="105" ht="14.25" customHeight="1" spans="1:23">
      <c r="A105" s="76" t="s">
        <v>103</v>
      </c>
      <c r="B105" s="110">
        <f>SUM(B106:B108)</f>
        <v>0</v>
      </c>
      <c r="C105" s="110">
        <f>SUM(C106:C108)</f>
        <v>0</v>
      </c>
      <c r="D105" s="110">
        <f>SUM(D106:D108)</f>
        <v>0</v>
      </c>
      <c r="E105" s="110">
        <v>3</v>
      </c>
      <c r="F105" s="110">
        <v>2</v>
      </c>
      <c r="G105" s="110">
        <v>1</v>
      </c>
      <c r="H105" s="110">
        <v>2</v>
      </c>
      <c r="I105" s="110">
        <v>1</v>
      </c>
      <c r="J105" s="110">
        <v>1</v>
      </c>
      <c r="K105" s="110">
        <f t="shared" ref="K105:P105" si="111">SUM(K106:K108)</f>
        <v>3</v>
      </c>
      <c r="L105" s="110">
        <f t="shared" si="111"/>
        <v>2</v>
      </c>
      <c r="M105" s="110">
        <f t="shared" si="111"/>
        <v>1</v>
      </c>
      <c r="N105" s="110">
        <f t="shared" si="111"/>
        <v>1</v>
      </c>
      <c r="O105" s="110">
        <f t="shared" si="111"/>
        <v>1</v>
      </c>
      <c r="P105" s="110">
        <f t="shared" si="111"/>
        <v>0</v>
      </c>
      <c r="Q105" s="146" t="s">
        <v>137</v>
      </c>
      <c r="R105" s="110">
        <f t="shared" ref="R105:W105" si="112">SUM(R106:R108)</f>
        <v>1004</v>
      </c>
      <c r="S105" s="110">
        <f t="shared" si="112"/>
        <v>1004</v>
      </c>
      <c r="T105" s="110">
        <f t="shared" si="112"/>
        <v>0</v>
      </c>
      <c r="U105" s="110">
        <f t="shared" si="112"/>
        <v>2368</v>
      </c>
      <c r="V105" s="110">
        <f t="shared" si="112"/>
        <v>2368</v>
      </c>
      <c r="W105" s="110">
        <f t="shared" si="112"/>
        <v>2</v>
      </c>
    </row>
    <row r="106" ht="14.25" customHeight="1" spans="1:23">
      <c r="A106" s="71" t="s">
        <v>104</v>
      </c>
      <c r="B106" s="140">
        <f t="shared" ref="B106:B108" si="113">C106+D106</f>
        <v>0</v>
      </c>
      <c r="C106" s="140">
        <f t="shared" ref="C106:C108" si="114">L106-F106</f>
        <v>0</v>
      </c>
      <c r="D106" s="140">
        <f t="shared" ref="D106:D108" si="115">M106-G106</f>
        <v>0</v>
      </c>
      <c r="E106" s="124">
        <v>0</v>
      </c>
      <c r="F106" s="124">
        <v>0</v>
      </c>
      <c r="G106" s="124">
        <v>0</v>
      </c>
      <c r="H106" s="124">
        <v>0</v>
      </c>
      <c r="I106" s="124">
        <v>0</v>
      </c>
      <c r="J106" s="124">
        <v>0</v>
      </c>
      <c r="K106" s="124">
        <f t="shared" ref="K106:K108" si="116">SUM(L106:M106)</f>
        <v>0</v>
      </c>
      <c r="L106" s="124">
        <f t="shared" ref="L106:L108" si="117">ROUND((T106*1250+W106*1000)*25%*0.5/10000,0)+ROUND(((R106-T106)*1250*50%*3%+(U106-W106)*1000*50%*3%)*0.5/10000,0)</f>
        <v>0</v>
      </c>
      <c r="M106" s="124">
        <f t="shared" ref="M106:M108" si="118">ROUND((T106*1250+W106*1000)*25%*0.25/10000,0)+ROUND(((R106-T106)*1250*50%*3%+(U106-W106)*1000*50%*3%)*0.25/10000,0)</f>
        <v>0</v>
      </c>
      <c r="N106" s="124">
        <f t="shared" ref="N106:N108" si="119">O106+P106</f>
        <v>0</v>
      </c>
      <c r="O106" s="124">
        <f t="shared" ref="O106:O108" si="120">L106-I106</f>
        <v>0</v>
      </c>
      <c r="P106" s="124">
        <f t="shared" ref="P106:P108" si="121">M106-J106</f>
        <v>0</v>
      </c>
      <c r="Q106" s="147"/>
      <c r="R106" s="108">
        <v>172</v>
      </c>
      <c r="S106" s="108">
        <v>172</v>
      </c>
      <c r="T106" s="108">
        <v>0</v>
      </c>
      <c r="U106" s="108">
        <v>276</v>
      </c>
      <c r="V106" s="108">
        <v>276</v>
      </c>
      <c r="W106" s="108">
        <v>0</v>
      </c>
    </row>
    <row r="107" ht="14.25" customHeight="1" spans="1:23">
      <c r="A107" s="71" t="s">
        <v>105</v>
      </c>
      <c r="B107" s="140">
        <f t="shared" si="113"/>
        <v>0</v>
      </c>
      <c r="C107" s="140">
        <f t="shared" si="114"/>
        <v>0</v>
      </c>
      <c r="D107" s="140">
        <f t="shared" si="115"/>
        <v>0</v>
      </c>
      <c r="E107" s="124">
        <v>0</v>
      </c>
      <c r="F107" s="124">
        <v>0</v>
      </c>
      <c r="G107" s="124">
        <v>0</v>
      </c>
      <c r="H107" s="124">
        <v>0</v>
      </c>
      <c r="I107" s="124">
        <v>0</v>
      </c>
      <c r="J107" s="124">
        <v>0</v>
      </c>
      <c r="K107" s="124">
        <f t="shared" si="116"/>
        <v>0</v>
      </c>
      <c r="L107" s="124">
        <f t="shared" si="117"/>
        <v>0</v>
      </c>
      <c r="M107" s="124">
        <f t="shared" si="118"/>
        <v>0</v>
      </c>
      <c r="N107" s="124">
        <f t="shared" si="119"/>
        <v>0</v>
      </c>
      <c r="O107" s="124">
        <f t="shared" si="120"/>
        <v>0</v>
      </c>
      <c r="P107" s="124">
        <f t="shared" si="121"/>
        <v>0</v>
      </c>
      <c r="Q107" s="147"/>
      <c r="R107" s="108">
        <v>27</v>
      </c>
      <c r="S107" s="108">
        <v>27</v>
      </c>
      <c r="T107" s="108">
        <v>0</v>
      </c>
      <c r="U107" s="108">
        <v>47</v>
      </c>
      <c r="V107" s="108">
        <v>47</v>
      </c>
      <c r="W107" s="108">
        <v>0</v>
      </c>
    </row>
    <row r="108" ht="14.25" customHeight="1" spans="1:23">
      <c r="A108" s="71" t="s">
        <v>106</v>
      </c>
      <c r="B108" s="140">
        <f t="shared" si="113"/>
        <v>0</v>
      </c>
      <c r="C108" s="140">
        <f t="shared" si="114"/>
        <v>0</v>
      </c>
      <c r="D108" s="140">
        <f t="shared" si="115"/>
        <v>0</v>
      </c>
      <c r="E108" s="124">
        <v>3</v>
      </c>
      <c r="F108" s="124">
        <v>2</v>
      </c>
      <c r="G108" s="124">
        <v>1</v>
      </c>
      <c r="H108" s="124">
        <v>2</v>
      </c>
      <c r="I108" s="124">
        <v>1</v>
      </c>
      <c r="J108" s="124">
        <v>1</v>
      </c>
      <c r="K108" s="124">
        <f t="shared" si="116"/>
        <v>3</v>
      </c>
      <c r="L108" s="124">
        <f t="shared" si="117"/>
        <v>2</v>
      </c>
      <c r="M108" s="124">
        <f t="shared" si="118"/>
        <v>1</v>
      </c>
      <c r="N108" s="124">
        <f t="shared" si="119"/>
        <v>1</v>
      </c>
      <c r="O108" s="124">
        <f t="shared" si="120"/>
        <v>1</v>
      </c>
      <c r="P108" s="124">
        <f t="shared" si="121"/>
        <v>0</v>
      </c>
      <c r="Q108" s="147"/>
      <c r="R108" s="108">
        <v>805</v>
      </c>
      <c r="S108" s="108">
        <v>805</v>
      </c>
      <c r="T108" s="108">
        <v>0</v>
      </c>
      <c r="U108" s="108">
        <v>2045</v>
      </c>
      <c r="V108" s="108">
        <v>2045</v>
      </c>
      <c r="W108" s="108">
        <v>2</v>
      </c>
    </row>
    <row r="109" ht="14.25" customHeight="1" spans="1:23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57"/>
      <c r="L109" s="157"/>
      <c r="M109" s="157"/>
      <c r="N109" s="157"/>
      <c r="O109" s="157"/>
      <c r="P109" s="157"/>
      <c r="Q109" s="149"/>
      <c r="R109" s="158"/>
      <c r="S109" s="158"/>
      <c r="T109" s="158"/>
      <c r="U109" s="158"/>
      <c r="V109" s="158"/>
      <c r="W109" s="158"/>
    </row>
    <row r="110" s="130" customFormat="1" ht="26" customHeight="1" spans="1:23">
      <c r="A110" s="149"/>
      <c r="B110" s="149"/>
      <c r="C110" s="149"/>
      <c r="D110" s="149"/>
      <c r="E110" s="149"/>
      <c r="F110" s="149"/>
      <c r="G110" s="149"/>
      <c r="H110" s="149"/>
      <c r="I110" s="149"/>
      <c r="J110" s="149"/>
      <c r="K110" s="157"/>
      <c r="L110" s="157"/>
      <c r="M110" s="157"/>
      <c r="N110" s="157"/>
      <c r="O110" s="157"/>
      <c r="P110" s="157"/>
      <c r="Q110" s="149"/>
      <c r="R110" s="158"/>
      <c r="S110" s="158"/>
      <c r="T110" s="158"/>
      <c r="U110" s="158"/>
      <c r="V110" s="158"/>
      <c r="W110" s="158"/>
    </row>
    <row r="111" s="130" customFormat="1" ht="26" customHeight="1" spans="1:23">
      <c r="A111" s="149"/>
      <c r="B111" s="149"/>
      <c r="C111" s="149"/>
      <c r="D111" s="149"/>
      <c r="E111" s="149"/>
      <c r="F111" s="149"/>
      <c r="G111" s="149"/>
      <c r="H111" s="149"/>
      <c r="I111" s="149"/>
      <c r="J111" s="149"/>
      <c r="K111" s="157"/>
      <c r="L111" s="157"/>
      <c r="M111" s="157"/>
      <c r="N111" s="157"/>
      <c r="O111" s="157"/>
      <c r="P111" s="157"/>
      <c r="Q111" s="149"/>
      <c r="R111" s="158"/>
      <c r="S111" s="158"/>
      <c r="T111" s="158"/>
      <c r="U111" s="158"/>
      <c r="V111" s="158"/>
      <c r="W111" s="158"/>
    </row>
    <row r="112" s="130" customFormat="1" ht="26" customHeight="1" spans="1:22">
      <c r="A112" s="149"/>
      <c r="B112" s="149"/>
      <c r="C112" s="149"/>
      <c r="D112" s="149"/>
      <c r="E112" s="149"/>
      <c r="F112" s="149"/>
      <c r="G112" s="149"/>
      <c r="H112" s="149"/>
      <c r="I112" s="149"/>
      <c r="J112" s="149"/>
      <c r="K112" s="157"/>
      <c r="L112" s="157"/>
      <c r="M112" s="158"/>
      <c r="N112" s="158"/>
      <c r="O112" s="158"/>
      <c r="P112" s="158"/>
      <c r="Q112" s="157"/>
      <c r="R112" s="158"/>
      <c r="S112" s="158"/>
      <c r="T112" s="158"/>
      <c r="U112" s="158"/>
      <c r="V112" s="158"/>
    </row>
    <row r="113" s="130" customFormat="1" ht="26" customHeight="1" spans="1:22">
      <c r="A113" s="149"/>
      <c r="B113" s="149"/>
      <c r="C113" s="149"/>
      <c r="D113" s="149"/>
      <c r="E113" s="149"/>
      <c r="F113" s="149"/>
      <c r="G113" s="149"/>
      <c r="H113" s="149"/>
      <c r="I113" s="149"/>
      <c r="J113" s="149"/>
      <c r="K113" s="157"/>
      <c r="L113" s="157"/>
      <c r="M113" s="158"/>
      <c r="N113" s="158"/>
      <c r="O113" s="158"/>
      <c r="P113" s="158"/>
      <c r="Q113" s="157"/>
      <c r="R113" s="158"/>
      <c r="S113" s="158"/>
      <c r="T113" s="158"/>
      <c r="U113" s="158"/>
      <c r="V113" s="158"/>
    </row>
    <row r="114" s="130" customFormat="1" ht="26" customHeight="1" spans="1:22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57"/>
      <c r="L114" s="157"/>
      <c r="M114" s="158"/>
      <c r="N114" s="158"/>
      <c r="O114" s="158"/>
      <c r="P114" s="158"/>
      <c r="Q114" s="157"/>
      <c r="R114" s="158"/>
      <c r="S114" s="158"/>
      <c r="T114" s="158"/>
      <c r="U114" s="158"/>
      <c r="V114" s="158"/>
    </row>
    <row r="115" ht="26.25" customHeight="1" spans="1:23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59"/>
      <c r="L115" s="159"/>
      <c r="M115" s="159"/>
      <c r="N115" s="159"/>
      <c r="O115" s="159"/>
      <c r="P115" s="159"/>
      <c r="Q115" s="45"/>
      <c r="S115" s="45"/>
      <c r="T115" s="49"/>
      <c r="W115" s="51"/>
    </row>
    <row r="116" ht="41.25" customHeight="1" spans="1:23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60"/>
      <c r="L116" s="161"/>
      <c r="M116" s="160"/>
      <c r="N116" s="160"/>
      <c r="O116" s="160"/>
      <c r="P116" s="160"/>
      <c r="Q116" s="45"/>
      <c r="S116" s="45"/>
      <c r="T116" s="49"/>
      <c r="W116" s="51"/>
    </row>
    <row r="117" ht="20.25" customHeight="1" spans="1:23">
      <c r="A117" s="150"/>
      <c r="B117" s="150"/>
      <c r="C117" s="150"/>
      <c r="D117" s="150"/>
      <c r="E117" s="150"/>
      <c r="F117" s="150"/>
      <c r="G117" s="149"/>
      <c r="H117" s="149"/>
      <c r="I117" s="149"/>
      <c r="J117" s="149"/>
      <c r="K117" s="162"/>
      <c r="L117" s="162"/>
      <c r="M117" s="162"/>
      <c r="N117" s="162"/>
      <c r="O117" s="162"/>
      <c r="P117" s="162"/>
      <c r="Q117" s="45"/>
      <c r="S117" s="45"/>
      <c r="T117" s="49"/>
      <c r="W117" s="51"/>
    </row>
    <row r="118" ht="20.25" customHeight="1" spans="1:23">
      <c r="A118" s="151"/>
      <c r="B118" s="151"/>
      <c r="C118" s="151"/>
      <c r="D118" s="151"/>
      <c r="E118" s="151"/>
      <c r="F118" s="151"/>
      <c r="G118" s="152"/>
      <c r="H118" s="152"/>
      <c r="I118" s="152"/>
      <c r="J118" s="152"/>
      <c r="K118" s="163"/>
      <c r="L118" s="163"/>
      <c r="M118" s="163"/>
      <c r="N118" s="163"/>
      <c r="O118" s="163"/>
      <c r="P118" s="163"/>
      <c r="Q118" s="45"/>
      <c r="S118" s="45"/>
      <c r="T118" s="49"/>
      <c r="W118" s="51"/>
    </row>
    <row r="119" ht="20.25" customHeight="1" spans="1:23">
      <c r="A119" s="153"/>
      <c r="B119" s="153"/>
      <c r="C119" s="153"/>
      <c r="D119" s="153"/>
      <c r="E119" s="153"/>
      <c r="F119" s="153"/>
      <c r="G119" s="154"/>
      <c r="H119" s="154"/>
      <c r="I119" s="154"/>
      <c r="J119" s="154"/>
      <c r="K119" s="164"/>
      <c r="L119" s="164"/>
      <c r="M119" s="164"/>
      <c r="N119" s="164"/>
      <c r="O119" s="164"/>
      <c r="P119" s="164"/>
      <c r="Q119" s="45"/>
      <c r="S119" s="45"/>
      <c r="T119" s="49"/>
      <c r="W119" s="51"/>
    </row>
    <row r="120" ht="20.25" customHeight="1" spans="1:23">
      <c r="A120" s="153"/>
      <c r="B120" s="153"/>
      <c r="C120" s="153"/>
      <c r="D120" s="153"/>
      <c r="E120" s="153"/>
      <c r="F120" s="153"/>
      <c r="G120" s="154"/>
      <c r="H120" s="154"/>
      <c r="I120" s="154"/>
      <c r="J120" s="154"/>
      <c r="K120" s="164"/>
      <c r="L120" s="164"/>
      <c r="M120" s="164"/>
      <c r="N120" s="164"/>
      <c r="O120" s="164"/>
      <c r="P120" s="164"/>
      <c r="Q120" s="45"/>
      <c r="S120" s="45"/>
      <c r="T120" s="49"/>
      <c r="W120" s="51"/>
    </row>
    <row r="121" ht="20.25" customHeight="1" spans="1:23">
      <c r="A121" s="153"/>
      <c r="B121" s="153"/>
      <c r="C121" s="153"/>
      <c r="D121" s="153"/>
      <c r="E121" s="153"/>
      <c r="F121" s="153"/>
      <c r="G121" s="154"/>
      <c r="H121" s="154"/>
      <c r="I121" s="154"/>
      <c r="J121" s="154"/>
      <c r="K121" s="164"/>
      <c r="L121" s="164"/>
      <c r="M121" s="164"/>
      <c r="N121" s="164"/>
      <c r="O121" s="164"/>
      <c r="P121" s="164"/>
      <c r="Q121" s="45"/>
      <c r="S121" s="45"/>
      <c r="T121" s="49"/>
      <c r="W121" s="51"/>
    </row>
    <row r="122" ht="20.25" customHeight="1" spans="1:23">
      <c r="A122" s="155"/>
      <c r="B122" s="155"/>
      <c r="C122" s="155"/>
      <c r="D122" s="155"/>
      <c r="E122" s="155"/>
      <c r="F122" s="155"/>
      <c r="G122" s="156"/>
      <c r="H122" s="156"/>
      <c r="I122" s="156"/>
      <c r="J122" s="156"/>
      <c r="K122" s="164"/>
      <c r="L122" s="164"/>
      <c r="M122" s="164"/>
      <c r="N122" s="164"/>
      <c r="O122" s="164"/>
      <c r="P122" s="164"/>
      <c r="Q122" s="45"/>
      <c r="S122" s="45"/>
      <c r="T122" s="49"/>
      <c r="W122" s="51"/>
    </row>
    <row r="123" ht="20.25" customHeight="1" spans="1:23">
      <c r="A123" s="155"/>
      <c r="B123" s="155"/>
      <c r="C123" s="155"/>
      <c r="D123" s="155"/>
      <c r="E123" s="155"/>
      <c r="F123" s="155"/>
      <c r="G123" s="156"/>
      <c r="H123" s="156"/>
      <c r="I123" s="156"/>
      <c r="J123" s="156"/>
      <c r="K123" s="164"/>
      <c r="L123" s="164"/>
      <c r="M123" s="164"/>
      <c r="N123" s="164"/>
      <c r="O123" s="164"/>
      <c r="P123" s="164"/>
      <c r="Q123" s="45"/>
      <c r="S123" s="45"/>
      <c r="T123" s="49"/>
      <c r="W123" s="51"/>
    </row>
    <row r="124" ht="20.25" customHeight="1" spans="1:23">
      <c r="A124" s="155"/>
      <c r="B124" s="155"/>
      <c r="C124" s="155"/>
      <c r="D124" s="155"/>
      <c r="E124" s="155"/>
      <c r="F124" s="155"/>
      <c r="G124" s="156"/>
      <c r="H124" s="156"/>
      <c r="I124" s="156"/>
      <c r="J124" s="156"/>
      <c r="K124" s="164"/>
      <c r="L124" s="164"/>
      <c r="M124" s="164"/>
      <c r="N124" s="164"/>
      <c r="O124" s="164"/>
      <c r="P124" s="164"/>
      <c r="Q124" s="45"/>
      <c r="S124" s="45"/>
      <c r="T124" s="49"/>
      <c r="W124" s="51"/>
    </row>
    <row r="125" ht="20.25" customHeight="1" spans="1:23">
      <c r="A125" s="155"/>
      <c r="B125" s="155"/>
      <c r="C125" s="155"/>
      <c r="D125" s="155"/>
      <c r="E125" s="155"/>
      <c r="F125" s="155"/>
      <c r="G125" s="156"/>
      <c r="H125" s="156"/>
      <c r="I125" s="156"/>
      <c r="J125" s="156"/>
      <c r="K125" s="164"/>
      <c r="L125" s="164"/>
      <c r="M125" s="164"/>
      <c r="N125" s="164"/>
      <c r="O125" s="164"/>
      <c r="P125" s="164"/>
      <c r="Q125" s="45"/>
      <c r="S125" s="45"/>
      <c r="T125" s="49"/>
      <c r="W125" s="51"/>
    </row>
    <row r="126" ht="20.25" customHeight="1" spans="1:23">
      <c r="A126" s="155"/>
      <c r="B126" s="155"/>
      <c r="C126" s="155"/>
      <c r="D126" s="155"/>
      <c r="E126" s="155"/>
      <c r="F126" s="155"/>
      <c r="G126" s="156"/>
      <c r="H126" s="156"/>
      <c r="I126" s="156"/>
      <c r="J126" s="156"/>
      <c r="K126" s="164"/>
      <c r="L126" s="164"/>
      <c r="M126" s="164"/>
      <c r="N126" s="164"/>
      <c r="O126" s="164"/>
      <c r="P126" s="164"/>
      <c r="Q126" s="45"/>
      <c r="S126" s="45"/>
      <c r="T126" s="49"/>
      <c r="W126" s="51"/>
    </row>
    <row r="127" ht="20.25" customHeight="1" spans="1:23">
      <c r="A127" s="155"/>
      <c r="B127" s="155"/>
      <c r="C127" s="155"/>
      <c r="D127" s="155"/>
      <c r="E127" s="155"/>
      <c r="F127" s="155"/>
      <c r="G127" s="156"/>
      <c r="H127" s="156"/>
      <c r="I127" s="156"/>
      <c r="J127" s="156"/>
      <c r="K127" s="165"/>
      <c r="L127" s="165"/>
      <c r="M127" s="165"/>
      <c r="N127" s="165"/>
      <c r="O127" s="165"/>
      <c r="P127" s="165"/>
      <c r="Q127" s="45"/>
      <c r="S127" s="45"/>
      <c r="T127" s="49"/>
      <c r="W127" s="51"/>
    </row>
    <row r="128" customHeight="1" spans="7:23">
      <c r="G128" s="131"/>
      <c r="H128" s="131"/>
      <c r="I128" s="131"/>
      <c r="J128" s="131"/>
      <c r="M128" s="49"/>
      <c r="N128" s="49"/>
      <c r="O128" s="49"/>
      <c r="P128" s="49"/>
      <c r="Q128" s="45"/>
      <c r="S128" s="45"/>
      <c r="T128" s="49"/>
      <c r="W128" s="51"/>
    </row>
    <row r="129" customHeight="1" spans="7:23">
      <c r="G129" s="131"/>
      <c r="H129" s="131"/>
      <c r="I129" s="131"/>
      <c r="J129" s="131"/>
      <c r="M129" s="49"/>
      <c r="N129" s="49"/>
      <c r="O129" s="49"/>
      <c r="P129" s="49"/>
      <c r="Q129" s="45"/>
      <c r="S129" s="45"/>
      <c r="T129" s="49"/>
      <c r="W129" s="51"/>
    </row>
    <row r="130" customHeight="1" spans="7:23">
      <c r="G130" s="131"/>
      <c r="H130" s="131"/>
      <c r="I130" s="131"/>
      <c r="J130" s="131"/>
      <c r="M130" s="49"/>
      <c r="N130" s="49"/>
      <c r="O130" s="49"/>
      <c r="P130" s="49"/>
      <c r="Q130" s="45"/>
      <c r="S130" s="45"/>
      <c r="T130" s="49"/>
      <c r="W130" s="51"/>
    </row>
    <row r="131" customHeight="1" spans="7:23">
      <c r="G131" s="131"/>
      <c r="H131" s="131"/>
      <c r="I131" s="131"/>
      <c r="J131" s="131"/>
      <c r="M131" s="49"/>
      <c r="N131" s="49"/>
      <c r="O131" s="49"/>
      <c r="P131" s="49"/>
      <c r="Q131" s="45"/>
      <c r="S131" s="45"/>
      <c r="T131" s="49"/>
      <c r="W131" s="51"/>
    </row>
    <row r="132" customHeight="1" spans="7:23">
      <c r="G132" s="131"/>
      <c r="H132" s="131"/>
      <c r="I132" s="131"/>
      <c r="J132" s="131"/>
      <c r="M132" s="49"/>
      <c r="N132" s="49"/>
      <c r="O132" s="49"/>
      <c r="P132" s="49"/>
      <c r="Q132" s="45"/>
      <c r="S132" s="45"/>
      <c r="T132" s="49"/>
      <c r="W132" s="51"/>
    </row>
    <row r="133" customHeight="1" spans="7:23">
      <c r="G133" s="131"/>
      <c r="H133" s="131"/>
      <c r="I133" s="131"/>
      <c r="J133" s="131"/>
      <c r="M133" s="49"/>
      <c r="N133" s="49"/>
      <c r="O133" s="49"/>
      <c r="P133" s="49"/>
      <c r="Q133" s="45"/>
      <c r="S133" s="45"/>
      <c r="T133" s="49"/>
      <c r="W133" s="51"/>
    </row>
    <row r="134" customHeight="1" spans="7:23">
      <c r="G134" s="131"/>
      <c r="H134" s="131"/>
      <c r="I134" s="131"/>
      <c r="J134" s="131"/>
      <c r="M134" s="49"/>
      <c r="N134" s="49"/>
      <c r="O134" s="49"/>
      <c r="P134" s="49"/>
      <c r="Q134" s="45"/>
      <c r="S134" s="45"/>
      <c r="T134" s="49"/>
      <c r="W134" s="51"/>
    </row>
    <row r="135" customHeight="1" spans="7:23">
      <c r="G135" s="131"/>
      <c r="H135" s="131"/>
      <c r="I135" s="131"/>
      <c r="J135" s="131"/>
      <c r="M135" s="49"/>
      <c r="N135" s="49"/>
      <c r="O135" s="49"/>
      <c r="P135" s="49"/>
      <c r="Q135" s="45"/>
      <c r="S135" s="45"/>
      <c r="T135" s="49"/>
      <c r="W135" s="51"/>
    </row>
    <row r="136" customHeight="1" spans="7:23">
      <c r="G136" s="131"/>
      <c r="H136" s="131"/>
      <c r="I136" s="131"/>
      <c r="J136" s="131"/>
      <c r="M136" s="49"/>
      <c r="N136" s="49"/>
      <c r="O136" s="49"/>
      <c r="P136" s="49"/>
      <c r="Q136" s="45"/>
      <c r="S136" s="45"/>
      <c r="T136" s="49"/>
      <c r="W136" s="51"/>
    </row>
    <row r="137" customHeight="1" spans="7:23">
      <c r="G137" s="131"/>
      <c r="H137" s="131"/>
      <c r="I137" s="131"/>
      <c r="J137" s="131"/>
      <c r="M137" s="49"/>
      <c r="N137" s="49"/>
      <c r="O137" s="49"/>
      <c r="P137" s="49"/>
      <c r="Q137" s="45"/>
      <c r="S137" s="45"/>
      <c r="T137" s="49"/>
      <c r="W137" s="51"/>
    </row>
    <row r="138" customHeight="1" spans="7:23">
      <c r="G138" s="131"/>
      <c r="H138" s="131"/>
      <c r="I138" s="131"/>
      <c r="J138" s="131"/>
      <c r="M138" s="49"/>
      <c r="N138" s="49"/>
      <c r="O138" s="49"/>
      <c r="P138" s="49"/>
      <c r="Q138" s="45"/>
      <c r="S138" s="45"/>
      <c r="T138" s="49"/>
      <c r="W138" s="51"/>
    </row>
    <row r="139" customHeight="1" spans="7:23">
      <c r="G139" s="131"/>
      <c r="H139" s="131"/>
      <c r="I139" s="131"/>
      <c r="J139" s="131"/>
      <c r="M139" s="49"/>
      <c r="N139" s="49"/>
      <c r="O139" s="49"/>
      <c r="P139" s="49"/>
      <c r="Q139" s="45"/>
      <c r="S139" s="45"/>
      <c r="T139" s="49"/>
      <c r="W139" s="51"/>
    </row>
    <row r="140" customHeight="1" spans="7:23">
      <c r="G140" s="131"/>
      <c r="H140" s="131"/>
      <c r="I140" s="131"/>
      <c r="J140" s="131"/>
      <c r="M140" s="49"/>
      <c r="N140" s="49"/>
      <c r="O140" s="49"/>
      <c r="P140" s="49"/>
      <c r="Q140" s="45"/>
      <c r="S140" s="45"/>
      <c r="T140" s="49"/>
      <c r="W140" s="51"/>
    </row>
    <row r="141" customHeight="1" spans="7:23">
      <c r="G141" s="131"/>
      <c r="H141" s="131"/>
      <c r="I141" s="131"/>
      <c r="J141" s="131"/>
      <c r="M141" s="49"/>
      <c r="N141" s="49"/>
      <c r="O141" s="49"/>
      <c r="P141" s="49"/>
      <c r="Q141" s="45"/>
      <c r="S141" s="45"/>
      <c r="T141" s="49"/>
      <c r="W141" s="51"/>
    </row>
    <row r="142" customHeight="1" spans="7:23">
      <c r="G142" s="131"/>
      <c r="H142" s="131"/>
      <c r="I142" s="131"/>
      <c r="J142" s="131"/>
      <c r="M142" s="49"/>
      <c r="N142" s="49"/>
      <c r="O142" s="49"/>
      <c r="P142" s="49"/>
      <c r="Q142" s="45"/>
      <c r="S142" s="45"/>
      <c r="T142" s="49"/>
      <c r="W142" s="51"/>
    </row>
    <row r="143" customHeight="1" spans="7:23">
      <c r="G143" s="131"/>
      <c r="H143" s="131"/>
      <c r="I143" s="131"/>
      <c r="J143" s="131"/>
      <c r="M143" s="49"/>
      <c r="N143" s="49"/>
      <c r="O143" s="49"/>
      <c r="P143" s="49"/>
      <c r="Q143" s="45"/>
      <c r="S143" s="45"/>
      <c r="T143" s="49"/>
      <c r="W143" s="51"/>
    </row>
    <row r="144" customHeight="1" spans="7:23">
      <c r="G144" s="131"/>
      <c r="H144" s="131"/>
      <c r="I144" s="131"/>
      <c r="J144" s="131"/>
      <c r="M144" s="49"/>
      <c r="N144" s="49"/>
      <c r="O144" s="49"/>
      <c r="P144" s="49"/>
      <c r="Q144" s="45"/>
      <c r="S144" s="45"/>
      <c r="T144" s="49"/>
      <c r="W144" s="51"/>
    </row>
    <row r="145" customHeight="1" spans="7:23">
      <c r="G145" s="131"/>
      <c r="H145" s="131"/>
      <c r="I145" s="131"/>
      <c r="J145" s="131"/>
      <c r="M145" s="49"/>
      <c r="N145" s="49"/>
      <c r="O145" s="49"/>
      <c r="P145" s="49"/>
      <c r="Q145" s="45"/>
      <c r="S145" s="45"/>
      <c r="T145" s="49"/>
      <c r="W145" s="51"/>
    </row>
    <row r="146" customHeight="1" spans="7:23">
      <c r="G146" s="131"/>
      <c r="H146" s="131"/>
      <c r="I146" s="131"/>
      <c r="J146" s="131"/>
      <c r="M146" s="49"/>
      <c r="N146" s="49"/>
      <c r="O146" s="49"/>
      <c r="P146" s="49"/>
      <c r="Q146" s="45"/>
      <c r="S146" s="45"/>
      <c r="T146" s="49"/>
      <c r="W146" s="51"/>
    </row>
    <row r="147" customHeight="1" spans="7:23">
      <c r="G147" s="131"/>
      <c r="H147" s="131"/>
      <c r="I147" s="131"/>
      <c r="J147" s="131"/>
      <c r="M147" s="49"/>
      <c r="N147" s="49"/>
      <c r="O147" s="49"/>
      <c r="P147" s="49"/>
      <c r="Q147" s="45"/>
      <c r="S147" s="45"/>
      <c r="T147" s="49"/>
      <c r="W147" s="51"/>
    </row>
    <row r="148" customHeight="1" spans="7:23">
      <c r="G148" s="131"/>
      <c r="H148" s="131"/>
      <c r="I148" s="131"/>
      <c r="J148" s="131"/>
      <c r="M148" s="49"/>
      <c r="N148" s="49"/>
      <c r="O148" s="49"/>
      <c r="P148" s="49"/>
      <c r="Q148" s="45"/>
      <c r="S148" s="45"/>
      <c r="T148" s="49"/>
      <c r="W148" s="51"/>
    </row>
    <row r="149" customHeight="1" spans="7:23">
      <c r="G149" s="131"/>
      <c r="H149" s="131"/>
      <c r="I149" s="131"/>
      <c r="J149" s="131"/>
      <c r="M149" s="49"/>
      <c r="N149" s="49"/>
      <c r="O149" s="49"/>
      <c r="P149" s="49"/>
      <c r="Q149" s="45"/>
      <c r="S149" s="45"/>
      <c r="T149" s="49"/>
      <c r="W149" s="51"/>
    </row>
    <row r="150" customHeight="1" spans="7:23">
      <c r="G150" s="131"/>
      <c r="H150" s="131"/>
      <c r="I150" s="131"/>
      <c r="J150" s="131"/>
      <c r="M150" s="49"/>
      <c r="N150" s="49"/>
      <c r="O150" s="49"/>
      <c r="P150" s="49"/>
      <c r="Q150" s="45"/>
      <c r="S150" s="45"/>
      <c r="T150" s="49"/>
      <c r="W150" s="51"/>
    </row>
    <row r="151" customHeight="1" spans="7:23">
      <c r="G151" s="131"/>
      <c r="H151" s="131"/>
      <c r="I151" s="131"/>
      <c r="J151" s="131"/>
      <c r="M151" s="49"/>
      <c r="N151" s="49"/>
      <c r="O151" s="49"/>
      <c r="P151" s="49"/>
      <c r="Q151" s="45"/>
      <c r="S151" s="45"/>
      <c r="T151" s="49"/>
      <c r="W151" s="51"/>
    </row>
  </sheetData>
  <mergeCells count="11">
    <mergeCell ref="A2:G2"/>
    <mergeCell ref="B4:D4"/>
    <mergeCell ref="E4:G4"/>
    <mergeCell ref="H4:J4"/>
    <mergeCell ref="K4:M4"/>
    <mergeCell ref="N4:P4"/>
    <mergeCell ref="R4:T4"/>
    <mergeCell ref="U4:W4"/>
    <mergeCell ref="K115:L115"/>
    <mergeCell ref="A4:A5"/>
    <mergeCell ref="Q4:Q5"/>
  </mergeCells>
  <printOptions horizontalCentered="1" verticalCentered="1"/>
  <pageMargins left="0.511805555555556" right="0.393055555555556" top="0.313888888888889" bottom="0.432638888888889" header="0.235416666666667" footer="0.309027777777778"/>
  <pageSetup paperSize="9" scale="90" orientation="portrait" horizontalDpi="600" verticalDpi="600"/>
  <headerFooter alignWithMargins="0" scaleWithDoc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  <pageSetUpPr autoPageBreaks="0"/>
  </sheetPr>
  <dimension ref="A1:AQ100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I13" sqref="I13"/>
    </sheetView>
  </sheetViews>
  <sheetFormatPr defaultColWidth="9" defaultRowHeight="13.5" customHeight="1"/>
  <cols>
    <col min="1" max="1" width="23.375" style="45" customWidth="1"/>
    <col min="2" max="6" width="14.25" style="45" customWidth="1"/>
    <col min="7" max="7" width="9.5" style="45" customWidth="1"/>
    <col min="8" max="8" width="12.625" style="45" customWidth="1"/>
    <col min="9" max="9" width="13" style="46" customWidth="1"/>
    <col min="10" max="11" width="16.625" style="46" customWidth="1"/>
    <col min="12" max="12" width="12.375" style="46" customWidth="1"/>
    <col min="13" max="13" width="8.875" style="46" customWidth="1"/>
    <col min="14" max="14" width="13.25" style="45" customWidth="1"/>
    <col min="15" max="15" width="18.625" style="45" customWidth="1"/>
    <col min="16" max="16" width="13.25" style="45" customWidth="1"/>
    <col min="17" max="17" width="16.5" style="45" customWidth="1"/>
    <col min="18" max="18" width="12.75" style="45" customWidth="1"/>
    <col min="19" max="19" width="10.375" style="47" customWidth="1"/>
    <col min="20" max="20" width="7.625" style="45" customWidth="1"/>
    <col min="21" max="21" width="9.5" style="45" customWidth="1"/>
    <col min="22" max="23" width="9.5" style="48" customWidth="1"/>
    <col min="24" max="24" width="9.5" style="45" customWidth="1"/>
    <col min="25" max="26" width="9.5" style="48" customWidth="1"/>
    <col min="27" max="27" width="8.375" style="49" hidden="1" customWidth="1"/>
    <col min="28" max="28" width="9" style="49" hidden="1" customWidth="1"/>
    <col min="29" max="30" width="8.375" style="45" hidden="1" customWidth="1"/>
    <col min="31" max="32" width="9" style="49" hidden="1" customWidth="1"/>
    <col min="33" max="33" width="7.875" style="49" hidden="1" customWidth="1"/>
    <col min="34" max="37" width="5.875" style="49" hidden="1" customWidth="1"/>
    <col min="38" max="38" width="6" style="50" hidden="1" customWidth="1"/>
    <col min="39" max="39" width="8.5" style="50" hidden="1" customWidth="1"/>
    <col min="40" max="40" width="9" style="51" hidden="1" customWidth="1"/>
    <col min="41" max="16383" width="9" style="51"/>
  </cols>
  <sheetData>
    <row r="1" ht="14.1" customHeight="1" spans="1:24">
      <c r="A1" s="45" t="s">
        <v>139</v>
      </c>
      <c r="X1" s="45" t="s">
        <v>140</v>
      </c>
    </row>
    <row r="2" ht="32.25" customHeight="1" spans="1:39">
      <c r="A2" s="52" t="s">
        <v>141</v>
      </c>
      <c r="B2" s="52"/>
      <c r="C2" s="52"/>
      <c r="D2" s="52"/>
      <c r="E2" s="53"/>
      <c r="F2" s="52"/>
      <c r="G2" s="53"/>
      <c r="H2" s="53"/>
      <c r="I2" s="79"/>
      <c r="J2" s="53"/>
      <c r="K2" s="53"/>
      <c r="L2" s="53"/>
      <c r="M2" s="53"/>
      <c r="N2" s="53"/>
      <c r="O2" s="53"/>
      <c r="P2" s="53"/>
      <c r="Q2" s="53"/>
      <c r="R2" s="53">
        <v>24000</v>
      </c>
      <c r="S2" s="53" t="s">
        <v>142</v>
      </c>
      <c r="T2" s="89">
        <f>J8+J27+J40+J47+J54+J63+J71+J80+J87</f>
        <v>56</v>
      </c>
      <c r="U2" s="89"/>
      <c r="V2" s="90"/>
      <c r="W2" s="90"/>
      <c r="X2" s="89">
        <v>1345</v>
      </c>
      <c r="Y2" s="90">
        <f>ROUNDUP(24000/60%*40%,0)</f>
        <v>16000</v>
      </c>
      <c r="Z2" s="90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ht="14.1" customHeight="1" spans="1:39">
      <c r="A3" s="54" t="s">
        <v>2</v>
      </c>
      <c r="B3" s="54"/>
      <c r="C3" s="54"/>
      <c r="D3" s="54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89"/>
      <c r="U3" s="89"/>
      <c r="V3" s="90"/>
      <c r="W3" s="90"/>
      <c r="X3" s="89"/>
      <c r="Y3" s="90"/>
      <c r="Z3" s="90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ht="35.1" customHeight="1" spans="1:39">
      <c r="A4" s="56" t="s">
        <v>143</v>
      </c>
      <c r="B4" s="57" t="s">
        <v>144</v>
      </c>
      <c r="C4" s="57" t="s">
        <v>145</v>
      </c>
      <c r="D4" s="58" t="s">
        <v>146</v>
      </c>
      <c r="E4" s="58" t="s">
        <v>147</v>
      </c>
      <c r="F4" s="59" t="s">
        <v>148</v>
      </c>
      <c r="G4" s="60" t="s">
        <v>149</v>
      </c>
      <c r="H4" s="60"/>
      <c r="I4" s="80"/>
      <c r="J4" s="80"/>
      <c r="K4" s="80"/>
      <c r="L4" s="80"/>
      <c r="M4" s="60" t="s">
        <v>150</v>
      </c>
      <c r="N4" s="81" t="s">
        <v>151</v>
      </c>
      <c r="O4" s="82"/>
      <c r="P4" s="83"/>
      <c r="Q4" s="91" t="s">
        <v>150</v>
      </c>
      <c r="R4" s="92" t="s">
        <v>152</v>
      </c>
      <c r="S4" s="13" t="s">
        <v>131</v>
      </c>
      <c r="T4" s="13" t="s">
        <v>153</v>
      </c>
      <c r="U4" s="13" t="s">
        <v>154</v>
      </c>
      <c r="V4" s="93"/>
      <c r="W4" s="93"/>
      <c r="X4" s="13" t="s">
        <v>155</v>
      </c>
      <c r="Y4" s="93"/>
      <c r="Z4" s="93"/>
      <c r="AA4" s="112" t="s">
        <v>132</v>
      </c>
      <c r="AB4" s="112"/>
      <c r="AC4" s="112"/>
      <c r="AD4" s="112"/>
      <c r="AE4" s="113" t="s">
        <v>133</v>
      </c>
      <c r="AF4" s="113"/>
      <c r="AG4" s="113"/>
      <c r="AH4" s="119" t="s">
        <v>156</v>
      </c>
      <c r="AI4" s="120"/>
      <c r="AJ4" s="120"/>
      <c r="AK4" s="121"/>
      <c r="AL4" s="116" t="s">
        <v>157</v>
      </c>
      <c r="AM4" s="116"/>
    </row>
    <row r="5" ht="18.95" customHeight="1" spans="1:39">
      <c r="A5" s="56"/>
      <c r="B5" s="57"/>
      <c r="C5" s="57"/>
      <c r="D5" s="61"/>
      <c r="E5" s="62"/>
      <c r="F5" s="63"/>
      <c r="G5" s="64" t="s">
        <v>13</v>
      </c>
      <c r="H5" s="64" t="s">
        <v>158</v>
      </c>
      <c r="I5" s="64" t="s">
        <v>117</v>
      </c>
      <c r="J5" s="64" t="s">
        <v>159</v>
      </c>
      <c r="K5" s="64" t="s">
        <v>119</v>
      </c>
      <c r="L5" s="64" t="s">
        <v>160</v>
      </c>
      <c r="M5" s="60"/>
      <c r="N5" s="84" t="s">
        <v>13</v>
      </c>
      <c r="O5" s="84" t="s">
        <v>117</v>
      </c>
      <c r="P5" s="84" t="s">
        <v>119</v>
      </c>
      <c r="Q5" s="91"/>
      <c r="R5" s="94"/>
      <c r="S5" s="13"/>
      <c r="T5" s="13"/>
      <c r="U5" s="13" t="s">
        <v>13</v>
      </c>
      <c r="V5" s="93" t="s">
        <v>161</v>
      </c>
      <c r="W5" s="93" t="s">
        <v>162</v>
      </c>
      <c r="X5" s="13" t="s">
        <v>13</v>
      </c>
      <c r="Y5" s="93" t="s">
        <v>161</v>
      </c>
      <c r="Z5" s="93" t="s">
        <v>162</v>
      </c>
      <c r="AA5" s="114" t="s">
        <v>13</v>
      </c>
      <c r="AB5" s="115" t="s">
        <v>134</v>
      </c>
      <c r="AC5" s="115" t="s">
        <v>163</v>
      </c>
      <c r="AD5" s="115"/>
      <c r="AE5" s="116" t="s">
        <v>13</v>
      </c>
      <c r="AF5" s="115" t="s">
        <v>134</v>
      </c>
      <c r="AG5" s="116" t="s">
        <v>163</v>
      </c>
      <c r="AH5" s="122" t="s">
        <v>13</v>
      </c>
      <c r="AI5" s="122" t="s">
        <v>117</v>
      </c>
      <c r="AJ5" s="122" t="s">
        <v>119</v>
      </c>
      <c r="AK5" s="122" t="s">
        <v>164</v>
      </c>
      <c r="AL5" s="116" t="s">
        <v>161</v>
      </c>
      <c r="AM5" s="116" t="s">
        <v>162</v>
      </c>
    </row>
    <row r="6" ht="14.25" customHeight="1" spans="1:39">
      <c r="A6" s="65" t="s">
        <v>13</v>
      </c>
      <c r="B6" s="66">
        <f t="shared" ref="B6:K6" si="0">SUM(B7,B22:B26,B34:B39,B43:B46,B51:B53,B57:B62,B66:B70,B75:B79,B82:B86,B96)</f>
        <v>3505</v>
      </c>
      <c r="C6" s="66">
        <f t="shared" si="0"/>
        <v>2765</v>
      </c>
      <c r="D6" s="66">
        <f t="shared" si="0"/>
        <v>740</v>
      </c>
      <c r="E6" s="66">
        <f t="shared" si="0"/>
        <v>804</v>
      </c>
      <c r="F6" s="66">
        <f t="shared" si="0"/>
        <v>1514</v>
      </c>
      <c r="G6" s="67">
        <f t="shared" si="0"/>
        <v>41358</v>
      </c>
      <c r="H6" s="68">
        <f t="shared" si="0"/>
        <v>1346</v>
      </c>
      <c r="I6" s="68">
        <f t="shared" si="0"/>
        <v>24009</v>
      </c>
      <c r="J6" s="68">
        <f t="shared" si="0"/>
        <v>24420</v>
      </c>
      <c r="K6" s="68">
        <f t="shared" si="0"/>
        <v>16003</v>
      </c>
      <c r="L6" s="68">
        <f t="shared" ref="L6:Q6" si="1">SUM(L7,L22:L26,L34:L39,L43:L46,L51:L53,L57:L62,L66:L70,L75:L79,L82:L86,L96)</f>
        <v>16278</v>
      </c>
      <c r="M6" s="68">
        <f t="shared" si="1"/>
        <v>8040</v>
      </c>
      <c r="N6" s="85">
        <f t="shared" si="1"/>
        <v>37853</v>
      </c>
      <c r="O6" s="85">
        <f t="shared" si="1"/>
        <v>22590</v>
      </c>
      <c r="P6" s="85">
        <f t="shared" si="1"/>
        <v>15263</v>
      </c>
      <c r="Q6" s="85">
        <f t="shared" si="1"/>
        <v>7236</v>
      </c>
      <c r="R6" s="85">
        <f t="shared" ref="R6:AC6" si="2">SUM(R7,R22:R26,R34:R39,R43:R46,R51:R53,R57:R62,R66:R70,R75:R79,R82:R86,R96)</f>
        <v>22499</v>
      </c>
      <c r="S6" s="95"/>
      <c r="T6" s="96"/>
      <c r="U6" s="97">
        <f t="shared" si="2"/>
        <v>1254466</v>
      </c>
      <c r="V6" s="98">
        <f t="shared" si="2"/>
        <v>419558</v>
      </c>
      <c r="W6" s="98">
        <f t="shared" si="2"/>
        <v>834908</v>
      </c>
      <c r="X6" s="99">
        <f t="shared" si="2"/>
        <v>394875</v>
      </c>
      <c r="Y6" s="98">
        <f t="shared" si="2"/>
        <v>119066</v>
      </c>
      <c r="Z6" s="98">
        <f t="shared" si="2"/>
        <v>275809</v>
      </c>
      <c r="AA6" s="97">
        <f t="shared" si="2"/>
        <v>594754</v>
      </c>
      <c r="AB6" s="97">
        <f t="shared" si="2"/>
        <v>532924</v>
      </c>
      <c r="AC6" s="97">
        <f t="shared" si="2"/>
        <v>105657</v>
      </c>
      <c r="AD6" s="97"/>
      <c r="AE6" s="97">
        <f t="shared" ref="AE6:AM6" si="3">SUM(AE7,AE22:AE26,AE34:AE39,AE43:AE46,AE51:AE53,AE57:AE62,AE66:AE70,AE75:AE79,AE82:AE86,AE96)</f>
        <v>1185315</v>
      </c>
      <c r="AF6" s="97">
        <f t="shared" si="3"/>
        <v>1140524</v>
      </c>
      <c r="AG6" s="97">
        <f t="shared" si="3"/>
        <v>28149</v>
      </c>
      <c r="AH6" s="97">
        <f t="shared" si="3"/>
        <v>8634</v>
      </c>
      <c r="AI6" s="97">
        <f t="shared" si="3"/>
        <v>5243</v>
      </c>
      <c r="AJ6" s="97">
        <f t="shared" si="3"/>
        <v>2038</v>
      </c>
      <c r="AK6" s="97">
        <f t="shared" si="3"/>
        <v>1353</v>
      </c>
      <c r="AL6" s="97">
        <f t="shared" si="3"/>
        <v>4149</v>
      </c>
      <c r="AM6" s="97">
        <f t="shared" si="3"/>
        <v>138189</v>
      </c>
    </row>
    <row r="7" ht="14.25" customHeight="1" spans="1:43">
      <c r="A7" s="69" t="s">
        <v>25</v>
      </c>
      <c r="B7" s="70">
        <f t="shared" ref="B7:K7" si="4">SUM(B8:B21)</f>
        <v>867</v>
      </c>
      <c r="C7" s="70">
        <f t="shared" si="4"/>
        <v>621</v>
      </c>
      <c r="D7" s="70">
        <f t="shared" si="4"/>
        <v>246</v>
      </c>
      <c r="E7" s="70">
        <f t="shared" si="4"/>
        <v>383</v>
      </c>
      <c r="F7" s="70">
        <f t="shared" si="4"/>
        <v>629</v>
      </c>
      <c r="G7" s="68">
        <f t="shared" si="4"/>
        <v>5883</v>
      </c>
      <c r="H7" s="68">
        <f t="shared" si="4"/>
        <v>182</v>
      </c>
      <c r="I7" s="68">
        <f t="shared" si="4"/>
        <v>3419</v>
      </c>
      <c r="J7" s="68">
        <f t="shared" si="4"/>
        <v>3481</v>
      </c>
      <c r="K7" s="68">
        <f t="shared" si="4"/>
        <v>2282</v>
      </c>
      <c r="L7" s="68">
        <f t="shared" ref="L7:Q7" si="5">SUM(L8:L21)</f>
        <v>2321</v>
      </c>
      <c r="M7" s="68">
        <f t="shared" si="5"/>
        <v>2959</v>
      </c>
      <c r="N7" s="85">
        <f t="shared" si="5"/>
        <v>5016</v>
      </c>
      <c r="O7" s="85">
        <f t="shared" si="5"/>
        <v>2980</v>
      </c>
      <c r="P7" s="85">
        <v>2036</v>
      </c>
      <c r="Q7" s="85">
        <f t="shared" si="5"/>
        <v>2576</v>
      </c>
      <c r="R7" s="85">
        <f t="shared" ref="R7:AC7" si="6">SUM(R8:R21)</f>
        <v>4612</v>
      </c>
      <c r="S7" s="100" t="s">
        <v>165</v>
      </c>
      <c r="T7" s="101"/>
      <c r="U7" s="102">
        <f t="shared" si="6"/>
        <v>169660</v>
      </c>
      <c r="V7" s="103">
        <f t="shared" si="6"/>
        <v>45942</v>
      </c>
      <c r="W7" s="103">
        <f t="shared" si="6"/>
        <v>123718</v>
      </c>
      <c r="X7" s="102">
        <f t="shared" si="6"/>
        <v>145325</v>
      </c>
      <c r="Y7" s="103">
        <f t="shared" si="6"/>
        <v>39217</v>
      </c>
      <c r="Z7" s="103">
        <f t="shared" si="6"/>
        <v>106108</v>
      </c>
      <c r="AA7" s="102">
        <f t="shared" si="6"/>
        <v>90536</v>
      </c>
      <c r="AB7" s="102">
        <f t="shared" si="6"/>
        <v>73599</v>
      </c>
      <c r="AC7" s="102">
        <f t="shared" si="6"/>
        <v>4188</v>
      </c>
      <c r="AD7" s="102"/>
      <c r="AE7" s="102">
        <f t="shared" ref="AE7:AM7" si="7">SUM(AE8:AE21)</f>
        <v>217507</v>
      </c>
      <c r="AF7" s="102">
        <f t="shared" si="7"/>
        <v>196723</v>
      </c>
      <c r="AG7" s="102">
        <f t="shared" si="7"/>
        <v>271</v>
      </c>
      <c r="AH7" s="102">
        <f t="shared" si="7"/>
        <v>441</v>
      </c>
      <c r="AI7" s="102">
        <f t="shared" si="7"/>
        <v>265</v>
      </c>
      <c r="AJ7" s="102">
        <f t="shared" si="7"/>
        <v>105</v>
      </c>
      <c r="AK7" s="102">
        <f t="shared" si="7"/>
        <v>71</v>
      </c>
      <c r="AL7" s="102">
        <f t="shared" si="7"/>
        <v>283</v>
      </c>
      <c r="AM7" s="102">
        <f t="shared" si="7"/>
        <v>7017</v>
      </c>
      <c r="AP7" s="51" t="s">
        <v>25</v>
      </c>
      <c r="AQ7" s="51" t="b">
        <f t="shared" ref="AQ7:AQ18" si="8">AP7=A7</f>
        <v>1</v>
      </c>
    </row>
    <row r="8" ht="14.25" customHeight="1" spans="1:43">
      <c r="A8" s="71" t="s">
        <v>26</v>
      </c>
      <c r="B8" s="72">
        <f t="shared" ref="B8:B25" si="9">C8+D8</f>
        <v>-5</v>
      </c>
      <c r="C8" s="72">
        <f>I8-O8+H8</f>
        <v>-4</v>
      </c>
      <c r="D8" s="72">
        <f t="shared" ref="D8:D24" si="10">K8-P8</f>
        <v>-1</v>
      </c>
      <c r="E8" s="72">
        <f t="shared" ref="E8:E24" si="11">M8-Q8</f>
        <v>13</v>
      </c>
      <c r="F8" s="72">
        <f t="shared" ref="F8:F18" si="12">D8+E8</f>
        <v>12</v>
      </c>
      <c r="G8" s="73">
        <f t="shared" ref="G8:G25" si="13">I8+K8+H8</f>
        <v>29</v>
      </c>
      <c r="H8" s="73">
        <f>ROUND($X$2/$U$6*U8,0)</f>
        <v>1</v>
      </c>
      <c r="I8" s="86">
        <f>ROUND(24000/24412*J8,0)-4</f>
        <v>15</v>
      </c>
      <c r="J8" s="86">
        <f>ROUND($R$2*T8*U8/$U$6,0)</f>
        <v>19</v>
      </c>
      <c r="K8" s="86">
        <f t="shared" ref="K8:K25" si="14">ROUND(16000/16274*L8,0)</f>
        <v>13</v>
      </c>
      <c r="L8" s="86">
        <f>ROUND($Y$2*T8*U8/$U$6,0)</f>
        <v>13</v>
      </c>
      <c r="M8" s="86">
        <f>ROUND(8040*X8/$X$6,0)</f>
        <v>135</v>
      </c>
      <c r="N8" s="87">
        <f t="shared" ref="N8:N24" si="15">O8+P8</f>
        <v>34</v>
      </c>
      <c r="O8" s="87">
        <v>20</v>
      </c>
      <c r="P8" s="87">
        <v>14</v>
      </c>
      <c r="Q8" s="104">
        <v>122</v>
      </c>
      <c r="R8" s="104">
        <f t="shared" ref="R8:R18" si="16">Q8+P8</f>
        <v>136</v>
      </c>
      <c r="S8" s="105"/>
      <c r="T8" s="106">
        <f t="shared" ref="T8:T24" si="17">AO8</f>
        <v>1.1</v>
      </c>
      <c r="U8" s="107">
        <f t="shared" ref="U8:U24" si="18">V8+W8</f>
        <v>891</v>
      </c>
      <c r="V8" s="108">
        <v>891</v>
      </c>
      <c r="W8" s="108">
        <v>0</v>
      </c>
      <c r="X8" s="109">
        <f t="shared" ref="X8:X24" si="19">Y8+Z8</f>
        <v>6631</v>
      </c>
      <c r="Y8" s="108">
        <v>2473</v>
      </c>
      <c r="Z8" s="108">
        <v>4158</v>
      </c>
      <c r="AA8" s="117">
        <v>5700</v>
      </c>
      <c r="AB8" s="108">
        <v>3210</v>
      </c>
      <c r="AC8" s="108">
        <v>308</v>
      </c>
      <c r="AD8" s="108"/>
      <c r="AE8" s="117">
        <v>13071</v>
      </c>
      <c r="AF8" s="108">
        <v>4054</v>
      </c>
      <c r="AG8" s="108"/>
      <c r="AH8" s="123">
        <f t="shared" ref="AH8:AH24" si="20">AI8+AJ8+AK8</f>
        <v>1</v>
      </c>
      <c r="AI8" s="124">
        <f t="shared" ref="AI8:AI24" si="21">ROUND((AL8*800+AM8*600)*0.6/10000,0)</f>
        <v>1</v>
      </c>
      <c r="AJ8" s="124">
        <f t="shared" ref="AJ8:AJ24" si="22">ROUND((AL8*800+AM8*600)*0.24/10000,0)</f>
        <v>0</v>
      </c>
      <c r="AK8" s="124">
        <f t="shared" ref="AK8:AK24" si="23">ROUND((AL8*800+AM8*600)*0.16/10000,0)</f>
        <v>0</v>
      </c>
      <c r="AL8" s="125">
        <v>23</v>
      </c>
      <c r="AM8" s="125"/>
      <c r="AO8" s="51">
        <f t="shared" ref="AO8:AO24" si="24">IF(U8&gt;=30000,IF(U8&gt;50000,IF(U8&gt;70000,0.8,0.9),1),1.1)</f>
        <v>1.1</v>
      </c>
      <c r="AP8" s="51" t="s">
        <v>26</v>
      </c>
      <c r="AQ8" s="51" t="b">
        <f t="shared" si="8"/>
        <v>1</v>
      </c>
    </row>
    <row r="9" ht="14.25" customHeight="1" spans="1:43">
      <c r="A9" s="71" t="s">
        <v>27</v>
      </c>
      <c r="B9" s="72">
        <f t="shared" si="9"/>
        <v>3</v>
      </c>
      <c r="C9" s="72">
        <f t="shared" ref="C9:C25" si="25">I9-O9+H9</f>
        <v>2</v>
      </c>
      <c r="D9" s="72">
        <f t="shared" si="10"/>
        <v>1</v>
      </c>
      <c r="E9" s="72">
        <f t="shared" si="11"/>
        <v>58</v>
      </c>
      <c r="F9" s="72">
        <f t="shared" si="12"/>
        <v>59</v>
      </c>
      <c r="G9" s="73">
        <f t="shared" si="13"/>
        <v>18</v>
      </c>
      <c r="H9" s="73">
        <f>ROUND($X$2/$U$6*U9,0)</f>
        <v>1</v>
      </c>
      <c r="I9" s="86">
        <f t="shared" ref="I8:I25" si="26">ROUND(24000/24412*J9,0)</f>
        <v>10</v>
      </c>
      <c r="J9" s="86">
        <f t="shared" ref="J9:J24" si="27">ROUND($R$2*T9*U9/$U$6,0)</f>
        <v>10</v>
      </c>
      <c r="K9" s="86">
        <f t="shared" si="14"/>
        <v>7</v>
      </c>
      <c r="L9" s="86">
        <f>ROUND($Y$2*T9*U9/$U$6,0)</f>
        <v>7</v>
      </c>
      <c r="M9" s="86">
        <f t="shared" ref="M8:M24" si="28">ROUND(8040*X9/$X$6,0)</f>
        <v>553</v>
      </c>
      <c r="N9" s="87">
        <f t="shared" si="15"/>
        <v>15</v>
      </c>
      <c r="O9" s="87">
        <v>9</v>
      </c>
      <c r="P9" s="87">
        <v>6</v>
      </c>
      <c r="Q9" s="104">
        <v>495</v>
      </c>
      <c r="R9" s="104">
        <f t="shared" si="16"/>
        <v>501</v>
      </c>
      <c r="S9" s="105"/>
      <c r="T9" s="106">
        <f t="shared" si="17"/>
        <v>1.1</v>
      </c>
      <c r="U9" s="107">
        <f t="shared" si="18"/>
        <v>489</v>
      </c>
      <c r="V9" s="108">
        <v>0</v>
      </c>
      <c r="W9" s="108">
        <v>489</v>
      </c>
      <c r="X9" s="109">
        <f t="shared" si="19"/>
        <v>27165</v>
      </c>
      <c r="Y9" s="108">
        <v>6961</v>
      </c>
      <c r="Z9" s="108">
        <v>20204</v>
      </c>
      <c r="AA9" s="117">
        <v>5865</v>
      </c>
      <c r="AB9" s="108">
        <v>5865</v>
      </c>
      <c r="AC9" s="108"/>
      <c r="AD9" s="108"/>
      <c r="AE9" s="117">
        <v>17451</v>
      </c>
      <c r="AF9" s="108">
        <v>17451</v>
      </c>
      <c r="AG9" s="108"/>
      <c r="AH9" s="123">
        <f t="shared" si="20"/>
        <v>0</v>
      </c>
      <c r="AI9" s="124">
        <f t="shared" si="21"/>
        <v>0</v>
      </c>
      <c r="AJ9" s="124">
        <f t="shared" si="22"/>
        <v>0</v>
      </c>
      <c r="AK9" s="124">
        <f t="shared" si="23"/>
        <v>0</v>
      </c>
      <c r="AL9" s="125"/>
      <c r="AM9" s="125"/>
      <c r="AO9" s="51">
        <f t="shared" si="24"/>
        <v>1.1</v>
      </c>
      <c r="AP9" s="51" t="s">
        <v>27</v>
      </c>
      <c r="AQ9" s="51" t="b">
        <f t="shared" si="8"/>
        <v>1</v>
      </c>
    </row>
    <row r="10" ht="14.25" customHeight="1" spans="1:43">
      <c r="A10" s="71" t="s">
        <v>28</v>
      </c>
      <c r="B10" s="72">
        <f t="shared" si="9"/>
        <v>25</v>
      </c>
      <c r="C10" s="72">
        <f t="shared" si="25"/>
        <v>17</v>
      </c>
      <c r="D10" s="72">
        <f t="shared" si="10"/>
        <v>8</v>
      </c>
      <c r="E10" s="72">
        <f t="shared" si="11"/>
        <v>98</v>
      </c>
      <c r="F10" s="72">
        <f t="shared" si="12"/>
        <v>106</v>
      </c>
      <c r="G10" s="73">
        <f t="shared" si="13"/>
        <v>152</v>
      </c>
      <c r="H10" s="73">
        <f>ROUND($X$2/$U$6*U10,0)</f>
        <v>5</v>
      </c>
      <c r="I10" s="86">
        <f t="shared" si="26"/>
        <v>88</v>
      </c>
      <c r="J10" s="86">
        <f t="shared" si="27"/>
        <v>90</v>
      </c>
      <c r="K10" s="86">
        <f t="shared" si="14"/>
        <v>59</v>
      </c>
      <c r="L10" s="86">
        <f>ROUND($Y$2*T10*U10/$U$6,0)</f>
        <v>60</v>
      </c>
      <c r="M10" s="86">
        <f t="shared" si="28"/>
        <v>752</v>
      </c>
      <c r="N10" s="87">
        <f t="shared" si="15"/>
        <v>127</v>
      </c>
      <c r="O10" s="87">
        <v>76</v>
      </c>
      <c r="P10" s="87">
        <v>51</v>
      </c>
      <c r="Q10" s="104">
        <v>654</v>
      </c>
      <c r="R10" s="104">
        <f t="shared" si="16"/>
        <v>705</v>
      </c>
      <c r="S10" s="105"/>
      <c r="T10" s="106">
        <f t="shared" si="17"/>
        <v>1.1</v>
      </c>
      <c r="U10" s="107">
        <f t="shared" si="18"/>
        <v>4275</v>
      </c>
      <c r="V10" s="108">
        <v>0</v>
      </c>
      <c r="W10" s="108">
        <v>4275</v>
      </c>
      <c r="X10" s="109">
        <f t="shared" si="19"/>
        <v>36912</v>
      </c>
      <c r="Y10" s="108">
        <v>9732</v>
      </c>
      <c r="Z10" s="108">
        <v>27180</v>
      </c>
      <c r="AA10" s="117">
        <v>8527</v>
      </c>
      <c r="AB10" s="108">
        <v>8527</v>
      </c>
      <c r="AC10" s="108"/>
      <c r="AD10" s="108"/>
      <c r="AE10" s="117">
        <v>25434</v>
      </c>
      <c r="AF10" s="108">
        <v>25333</v>
      </c>
      <c r="AG10" s="108"/>
      <c r="AH10" s="123">
        <f t="shared" si="20"/>
        <v>4</v>
      </c>
      <c r="AI10" s="124">
        <f t="shared" si="21"/>
        <v>2</v>
      </c>
      <c r="AJ10" s="124">
        <f t="shared" si="22"/>
        <v>1</v>
      </c>
      <c r="AK10" s="124">
        <f t="shared" si="23"/>
        <v>1</v>
      </c>
      <c r="AL10" s="125"/>
      <c r="AM10" s="125">
        <v>67</v>
      </c>
      <c r="AO10" s="51">
        <f t="shared" si="24"/>
        <v>1.1</v>
      </c>
      <c r="AP10" s="51" t="s">
        <v>28</v>
      </c>
      <c r="AQ10" s="51" t="b">
        <f t="shared" si="8"/>
        <v>1</v>
      </c>
    </row>
    <row r="11" ht="14.25" customHeight="1" spans="1:43">
      <c r="A11" s="71" t="s">
        <v>29</v>
      </c>
      <c r="B11" s="72">
        <f t="shared" si="9"/>
        <v>6</v>
      </c>
      <c r="C11" s="72">
        <f t="shared" si="25"/>
        <v>6</v>
      </c>
      <c r="D11" s="72">
        <f t="shared" si="10"/>
        <v>0</v>
      </c>
      <c r="E11" s="72">
        <f t="shared" si="11"/>
        <v>48</v>
      </c>
      <c r="F11" s="72">
        <f t="shared" si="12"/>
        <v>48</v>
      </c>
      <c r="G11" s="73">
        <f t="shared" si="13"/>
        <v>133</v>
      </c>
      <c r="H11" s="73">
        <f>ROUND($X$2/$U$6*U11,0)</f>
        <v>4</v>
      </c>
      <c r="I11" s="86">
        <f t="shared" si="26"/>
        <v>78</v>
      </c>
      <c r="J11" s="86">
        <f t="shared" si="27"/>
        <v>79</v>
      </c>
      <c r="K11" s="86">
        <f t="shared" si="14"/>
        <v>51</v>
      </c>
      <c r="L11" s="86">
        <f>ROUND($Y$2*T11*U11/$U$6,0)</f>
        <v>52</v>
      </c>
      <c r="M11" s="86">
        <f t="shared" si="28"/>
        <v>468</v>
      </c>
      <c r="N11" s="87">
        <f t="shared" si="15"/>
        <v>127</v>
      </c>
      <c r="O11" s="87">
        <v>76</v>
      </c>
      <c r="P11" s="87">
        <v>51</v>
      </c>
      <c r="Q11" s="104">
        <v>420</v>
      </c>
      <c r="R11" s="104">
        <f t="shared" si="16"/>
        <v>471</v>
      </c>
      <c r="S11" s="105"/>
      <c r="T11" s="106">
        <f t="shared" si="17"/>
        <v>1.1</v>
      </c>
      <c r="U11" s="107">
        <f t="shared" si="18"/>
        <v>3733</v>
      </c>
      <c r="V11" s="108">
        <v>831</v>
      </c>
      <c r="W11" s="108">
        <v>2902</v>
      </c>
      <c r="X11" s="109">
        <f t="shared" si="19"/>
        <v>22982</v>
      </c>
      <c r="Y11" s="108">
        <v>5319</v>
      </c>
      <c r="Z11" s="108">
        <v>17663</v>
      </c>
      <c r="AA11" s="117">
        <v>8380</v>
      </c>
      <c r="AB11" s="108">
        <v>4998</v>
      </c>
      <c r="AC11" s="108">
        <v>749</v>
      </c>
      <c r="AD11" s="108"/>
      <c r="AE11" s="117">
        <v>22491</v>
      </c>
      <c r="AF11" s="108">
        <v>20503</v>
      </c>
      <c r="AG11" s="108"/>
      <c r="AH11" s="123">
        <f t="shared" si="20"/>
        <v>1</v>
      </c>
      <c r="AI11" s="124">
        <f t="shared" si="21"/>
        <v>1</v>
      </c>
      <c r="AJ11" s="124">
        <f t="shared" si="22"/>
        <v>0</v>
      </c>
      <c r="AK11" s="124">
        <f t="shared" si="23"/>
        <v>0</v>
      </c>
      <c r="AL11" s="125"/>
      <c r="AM11" s="125">
        <v>33</v>
      </c>
      <c r="AO11" s="51">
        <f t="shared" si="24"/>
        <v>1.1</v>
      </c>
      <c r="AP11" s="51" t="s">
        <v>29</v>
      </c>
      <c r="AQ11" s="51" t="b">
        <f t="shared" si="8"/>
        <v>1</v>
      </c>
    </row>
    <row r="12" ht="14.25" customHeight="1" spans="1:43">
      <c r="A12" s="71" t="s">
        <v>30</v>
      </c>
      <c r="B12" s="72">
        <f t="shared" si="9"/>
        <v>-2</v>
      </c>
      <c r="C12" s="72">
        <f t="shared" si="25"/>
        <v>-1</v>
      </c>
      <c r="D12" s="72">
        <f t="shared" si="10"/>
        <v>-1</v>
      </c>
      <c r="E12" s="72">
        <f t="shared" si="11"/>
        <v>106</v>
      </c>
      <c r="F12" s="72">
        <f t="shared" si="12"/>
        <v>105</v>
      </c>
      <c r="G12" s="73">
        <f t="shared" si="13"/>
        <v>2</v>
      </c>
      <c r="H12" s="73">
        <f>ROUND($X$2/$U$6*U12,0)</f>
        <v>0</v>
      </c>
      <c r="I12" s="86">
        <f t="shared" si="26"/>
        <v>1</v>
      </c>
      <c r="J12" s="86">
        <f t="shared" si="27"/>
        <v>1</v>
      </c>
      <c r="K12" s="86">
        <f t="shared" si="14"/>
        <v>1</v>
      </c>
      <c r="L12" s="86">
        <f>ROUND($Y$2*T12*U12/$U$6,0)</f>
        <v>1</v>
      </c>
      <c r="M12" s="86">
        <f t="shared" si="28"/>
        <v>545</v>
      </c>
      <c r="N12" s="87">
        <f t="shared" si="15"/>
        <v>4</v>
      </c>
      <c r="O12" s="87">
        <v>2</v>
      </c>
      <c r="P12" s="87">
        <v>2</v>
      </c>
      <c r="Q12" s="104">
        <v>439</v>
      </c>
      <c r="R12" s="104">
        <f t="shared" si="16"/>
        <v>441</v>
      </c>
      <c r="S12" s="105"/>
      <c r="T12" s="106">
        <f t="shared" si="17"/>
        <v>1.1</v>
      </c>
      <c r="U12" s="107">
        <f t="shared" si="18"/>
        <v>70</v>
      </c>
      <c r="V12" s="108">
        <v>0</v>
      </c>
      <c r="W12" s="108">
        <v>70</v>
      </c>
      <c r="X12" s="109">
        <f t="shared" si="19"/>
        <v>26773</v>
      </c>
      <c r="Y12" s="108">
        <v>7910</v>
      </c>
      <c r="Z12" s="108">
        <v>18863</v>
      </c>
      <c r="AA12" s="117">
        <v>11605</v>
      </c>
      <c r="AB12" s="108">
        <v>5731</v>
      </c>
      <c r="AC12" s="108"/>
      <c r="AD12" s="108"/>
      <c r="AE12" s="117">
        <v>22890</v>
      </c>
      <c r="AF12" s="108">
        <v>15359</v>
      </c>
      <c r="AG12" s="108"/>
      <c r="AH12" s="123">
        <f t="shared" si="20"/>
        <v>0</v>
      </c>
      <c r="AI12" s="124">
        <f t="shared" si="21"/>
        <v>0</v>
      </c>
      <c r="AJ12" s="124">
        <f t="shared" si="22"/>
        <v>0</v>
      </c>
      <c r="AK12" s="124">
        <f t="shared" si="23"/>
        <v>0</v>
      </c>
      <c r="AL12" s="125"/>
      <c r="AM12" s="125"/>
      <c r="AO12" s="51">
        <f t="shared" si="24"/>
        <v>1.1</v>
      </c>
      <c r="AP12" s="51" t="s">
        <v>30</v>
      </c>
      <c r="AQ12" s="51" t="b">
        <f t="shared" si="8"/>
        <v>1</v>
      </c>
    </row>
    <row r="13" ht="14.25" customHeight="1" spans="1:43">
      <c r="A13" s="71" t="s">
        <v>31</v>
      </c>
      <c r="B13" s="72">
        <f t="shared" si="9"/>
        <v>13</v>
      </c>
      <c r="C13" s="72">
        <f t="shared" si="25"/>
        <v>12</v>
      </c>
      <c r="D13" s="72">
        <f t="shared" si="10"/>
        <v>1</v>
      </c>
      <c r="E13" s="72">
        <f t="shared" si="11"/>
        <v>60</v>
      </c>
      <c r="F13" s="72">
        <f t="shared" si="12"/>
        <v>61</v>
      </c>
      <c r="G13" s="73">
        <f t="shared" si="13"/>
        <v>229</v>
      </c>
      <c r="H13" s="73">
        <f>ROUND($X$2/$U$6*U13,0)</f>
        <v>7</v>
      </c>
      <c r="I13" s="86">
        <f t="shared" si="26"/>
        <v>134</v>
      </c>
      <c r="J13" s="86">
        <f t="shared" si="27"/>
        <v>136</v>
      </c>
      <c r="K13" s="86">
        <f t="shared" si="14"/>
        <v>88</v>
      </c>
      <c r="L13" s="86">
        <f>ROUND($Y$2*T13*U13/$U$6,0)</f>
        <v>90</v>
      </c>
      <c r="M13" s="86">
        <f t="shared" si="28"/>
        <v>506</v>
      </c>
      <c r="N13" s="87">
        <f t="shared" si="15"/>
        <v>216</v>
      </c>
      <c r="O13" s="87">
        <v>129</v>
      </c>
      <c r="P13" s="87">
        <v>87</v>
      </c>
      <c r="Q13" s="104">
        <v>446</v>
      </c>
      <c r="R13" s="104">
        <f t="shared" si="16"/>
        <v>533</v>
      </c>
      <c r="S13" s="105"/>
      <c r="T13" s="106">
        <f t="shared" si="17"/>
        <v>1.1</v>
      </c>
      <c r="U13" s="107">
        <f t="shared" si="18"/>
        <v>6445</v>
      </c>
      <c r="V13" s="108">
        <v>0</v>
      </c>
      <c r="W13" s="108">
        <v>6445</v>
      </c>
      <c r="X13" s="109">
        <f t="shared" si="19"/>
        <v>24862</v>
      </c>
      <c r="Y13" s="108">
        <v>6822</v>
      </c>
      <c r="Z13" s="108">
        <v>18040</v>
      </c>
      <c r="AA13" s="117">
        <v>9336</v>
      </c>
      <c r="AB13" s="108">
        <v>6245</v>
      </c>
      <c r="AC13" s="108"/>
      <c r="AD13" s="108"/>
      <c r="AE13" s="117">
        <v>22272</v>
      </c>
      <c r="AF13" s="108">
        <v>21618</v>
      </c>
      <c r="AG13" s="108"/>
      <c r="AH13" s="123">
        <f t="shared" si="20"/>
        <v>0</v>
      </c>
      <c r="AI13" s="124">
        <f t="shared" si="21"/>
        <v>0</v>
      </c>
      <c r="AJ13" s="124">
        <f t="shared" si="22"/>
        <v>0</v>
      </c>
      <c r="AK13" s="124">
        <f t="shared" si="23"/>
        <v>0</v>
      </c>
      <c r="AL13" s="125"/>
      <c r="AM13" s="125"/>
      <c r="AO13" s="51">
        <f t="shared" si="24"/>
        <v>1.1</v>
      </c>
      <c r="AP13" s="51" t="s">
        <v>31</v>
      </c>
      <c r="AQ13" s="51" t="b">
        <f t="shared" si="8"/>
        <v>1</v>
      </c>
    </row>
    <row r="14" ht="14.25" customHeight="1" spans="1:43">
      <c r="A14" s="71" t="s">
        <v>32</v>
      </c>
      <c r="B14" s="72">
        <f t="shared" si="9"/>
        <v>291</v>
      </c>
      <c r="C14" s="72">
        <f t="shared" si="25"/>
        <v>204</v>
      </c>
      <c r="D14" s="72">
        <f t="shared" si="10"/>
        <v>87</v>
      </c>
      <c r="E14" s="72">
        <f t="shared" si="11"/>
        <v>0</v>
      </c>
      <c r="F14" s="72">
        <f t="shared" si="12"/>
        <v>87</v>
      </c>
      <c r="G14" s="73">
        <f t="shared" si="13"/>
        <v>1045</v>
      </c>
      <c r="H14" s="73">
        <f>ROUND($X$2/$U$6*U14,0)-2</f>
        <v>30</v>
      </c>
      <c r="I14" s="86">
        <f t="shared" si="26"/>
        <v>609</v>
      </c>
      <c r="J14" s="86">
        <f t="shared" si="27"/>
        <v>619</v>
      </c>
      <c r="K14" s="86">
        <f t="shared" si="14"/>
        <v>406</v>
      </c>
      <c r="L14" s="86">
        <f>ROUND($Y$2*T14*U14/$U$6,0)</f>
        <v>413</v>
      </c>
      <c r="M14" s="86">
        <f t="shared" si="28"/>
        <v>0</v>
      </c>
      <c r="N14" s="87">
        <f t="shared" si="15"/>
        <v>754</v>
      </c>
      <c r="O14" s="87">
        <v>435</v>
      </c>
      <c r="P14" s="87">
        <v>319</v>
      </c>
      <c r="Q14" s="104">
        <v>0</v>
      </c>
      <c r="R14" s="104">
        <f t="shared" si="16"/>
        <v>319</v>
      </c>
      <c r="S14" s="105"/>
      <c r="T14" s="106">
        <f t="shared" si="17"/>
        <v>1.1</v>
      </c>
      <c r="U14" s="107">
        <f t="shared" si="18"/>
        <v>29409</v>
      </c>
      <c r="V14" s="108">
        <v>5504</v>
      </c>
      <c r="W14" s="108">
        <v>23905</v>
      </c>
      <c r="X14" s="109">
        <f t="shared" si="19"/>
        <v>0</v>
      </c>
      <c r="Y14" s="108"/>
      <c r="Z14" s="108">
        <v>0</v>
      </c>
      <c r="AA14" s="117">
        <v>4004</v>
      </c>
      <c r="AB14" s="108">
        <v>2165</v>
      </c>
      <c r="AC14" s="108"/>
      <c r="AD14" s="108"/>
      <c r="AE14" s="117">
        <v>9426</v>
      </c>
      <c r="AF14" s="108">
        <v>8175</v>
      </c>
      <c r="AG14" s="108"/>
      <c r="AH14" s="123">
        <f t="shared" si="20"/>
        <v>0</v>
      </c>
      <c r="AI14" s="124">
        <f t="shared" si="21"/>
        <v>0</v>
      </c>
      <c r="AJ14" s="124">
        <f t="shared" si="22"/>
        <v>0</v>
      </c>
      <c r="AK14" s="124">
        <f t="shared" si="23"/>
        <v>0</v>
      </c>
      <c r="AL14" s="125"/>
      <c r="AM14" s="125"/>
      <c r="AO14" s="51">
        <f t="shared" si="24"/>
        <v>1.1</v>
      </c>
      <c r="AP14" s="51" t="s">
        <v>32</v>
      </c>
      <c r="AQ14" s="51" t="b">
        <f t="shared" si="8"/>
        <v>1</v>
      </c>
    </row>
    <row r="15" ht="14.25" customHeight="1" spans="1:43">
      <c r="A15" s="71" t="s">
        <v>33</v>
      </c>
      <c r="B15" s="72">
        <f t="shared" si="9"/>
        <v>110</v>
      </c>
      <c r="C15" s="72">
        <f t="shared" si="25"/>
        <v>74</v>
      </c>
      <c r="D15" s="72">
        <f t="shared" si="10"/>
        <v>36</v>
      </c>
      <c r="E15" s="72">
        <f t="shared" si="11"/>
        <v>0</v>
      </c>
      <c r="F15" s="72">
        <f t="shared" si="12"/>
        <v>36</v>
      </c>
      <c r="G15" s="73">
        <f t="shared" si="13"/>
        <v>557</v>
      </c>
      <c r="H15" s="73">
        <f>ROUND($X$2/$U$6*U15,0)</f>
        <v>17</v>
      </c>
      <c r="I15" s="86">
        <f t="shared" si="26"/>
        <v>324</v>
      </c>
      <c r="J15" s="86">
        <f t="shared" si="27"/>
        <v>330</v>
      </c>
      <c r="K15" s="86">
        <f t="shared" si="14"/>
        <v>216</v>
      </c>
      <c r="L15" s="86">
        <f>ROUND($Y$2*T15*U15/$U$6,0)</f>
        <v>220</v>
      </c>
      <c r="M15" s="86">
        <f t="shared" si="28"/>
        <v>0</v>
      </c>
      <c r="N15" s="87">
        <f t="shared" si="15"/>
        <v>447</v>
      </c>
      <c r="O15" s="87">
        <v>267</v>
      </c>
      <c r="P15" s="87">
        <v>180</v>
      </c>
      <c r="Q15" s="104">
        <v>0</v>
      </c>
      <c r="R15" s="104">
        <f t="shared" si="16"/>
        <v>180</v>
      </c>
      <c r="S15" s="105"/>
      <c r="T15" s="106">
        <f t="shared" si="17"/>
        <v>1.1</v>
      </c>
      <c r="U15" s="107">
        <f t="shared" si="18"/>
        <v>15677</v>
      </c>
      <c r="V15" s="108">
        <v>2899</v>
      </c>
      <c r="W15" s="108">
        <v>12778</v>
      </c>
      <c r="X15" s="109">
        <f t="shared" si="19"/>
        <v>0</v>
      </c>
      <c r="Y15" s="108"/>
      <c r="Z15" s="108">
        <v>0</v>
      </c>
      <c r="AA15" s="117">
        <v>1547</v>
      </c>
      <c r="AB15" s="108">
        <v>1508</v>
      </c>
      <c r="AC15" s="108"/>
      <c r="AD15" s="108"/>
      <c r="AE15" s="117">
        <v>9907</v>
      </c>
      <c r="AF15" s="108">
        <v>9907</v>
      </c>
      <c r="AG15" s="108"/>
      <c r="AH15" s="123">
        <f t="shared" si="20"/>
        <v>5</v>
      </c>
      <c r="AI15" s="124">
        <f t="shared" si="21"/>
        <v>3</v>
      </c>
      <c r="AJ15" s="124">
        <f t="shared" si="22"/>
        <v>1</v>
      </c>
      <c r="AK15" s="124">
        <f t="shared" si="23"/>
        <v>1</v>
      </c>
      <c r="AL15" s="125"/>
      <c r="AM15" s="125">
        <v>90</v>
      </c>
      <c r="AO15" s="51">
        <f t="shared" si="24"/>
        <v>1.1</v>
      </c>
      <c r="AP15" s="51" t="s">
        <v>33</v>
      </c>
      <c r="AQ15" s="51" t="b">
        <f t="shared" si="8"/>
        <v>1</v>
      </c>
    </row>
    <row r="16" ht="14.25" customHeight="1" spans="1:43">
      <c r="A16" s="71" t="s">
        <v>34</v>
      </c>
      <c r="B16" s="72">
        <f t="shared" si="9"/>
        <v>156</v>
      </c>
      <c r="C16" s="72">
        <f t="shared" si="25"/>
        <v>100</v>
      </c>
      <c r="D16" s="72">
        <f t="shared" si="10"/>
        <v>56</v>
      </c>
      <c r="E16" s="72">
        <f t="shared" si="11"/>
        <v>0</v>
      </c>
      <c r="F16" s="72">
        <f t="shared" si="12"/>
        <v>56</v>
      </c>
      <c r="G16" s="73">
        <f t="shared" si="13"/>
        <v>492</v>
      </c>
      <c r="H16" s="73">
        <f>ROUND($X$2/$U$6*U16,0)</f>
        <v>15</v>
      </c>
      <c r="I16" s="86">
        <f t="shared" si="26"/>
        <v>286</v>
      </c>
      <c r="J16" s="86">
        <f t="shared" si="27"/>
        <v>291</v>
      </c>
      <c r="K16" s="86">
        <f t="shared" si="14"/>
        <v>191</v>
      </c>
      <c r="L16" s="86">
        <f>ROUND($Y$2*T16*U16/$U$6,0)</f>
        <v>194</v>
      </c>
      <c r="M16" s="86">
        <f t="shared" si="28"/>
        <v>0</v>
      </c>
      <c r="N16" s="87">
        <f t="shared" si="15"/>
        <v>336</v>
      </c>
      <c r="O16" s="87">
        <v>201</v>
      </c>
      <c r="P16" s="87">
        <v>135</v>
      </c>
      <c r="Q16" s="104">
        <v>0</v>
      </c>
      <c r="R16" s="104">
        <f t="shared" si="16"/>
        <v>135</v>
      </c>
      <c r="S16" s="105"/>
      <c r="T16" s="106">
        <f t="shared" si="17"/>
        <v>1.1</v>
      </c>
      <c r="U16" s="107">
        <f t="shared" si="18"/>
        <v>13826</v>
      </c>
      <c r="V16" s="108">
        <v>2932</v>
      </c>
      <c r="W16" s="108">
        <v>10894</v>
      </c>
      <c r="X16" s="109">
        <f t="shared" si="19"/>
        <v>0</v>
      </c>
      <c r="Y16" s="108"/>
      <c r="Z16" s="108">
        <v>0</v>
      </c>
      <c r="AA16" s="117">
        <v>1650</v>
      </c>
      <c r="AB16" s="108">
        <v>1650</v>
      </c>
      <c r="AC16" s="108">
        <v>687</v>
      </c>
      <c r="AD16" s="108"/>
      <c r="AE16" s="117">
        <v>6054</v>
      </c>
      <c r="AF16" s="108">
        <v>6054</v>
      </c>
      <c r="AG16" s="108"/>
      <c r="AH16" s="123">
        <f t="shared" si="20"/>
        <v>5</v>
      </c>
      <c r="AI16" s="124">
        <f t="shared" si="21"/>
        <v>3</v>
      </c>
      <c r="AJ16" s="124">
        <f t="shared" si="22"/>
        <v>1</v>
      </c>
      <c r="AK16" s="124">
        <f t="shared" si="23"/>
        <v>1</v>
      </c>
      <c r="AL16" s="125"/>
      <c r="AM16" s="125">
        <v>80</v>
      </c>
      <c r="AO16" s="51">
        <f t="shared" si="24"/>
        <v>1.1</v>
      </c>
      <c r="AP16" s="51" t="s">
        <v>34</v>
      </c>
      <c r="AQ16" s="51" t="b">
        <f t="shared" si="8"/>
        <v>1</v>
      </c>
    </row>
    <row r="17" ht="14.25" customHeight="1" spans="1:43">
      <c r="A17" s="71" t="s">
        <v>35</v>
      </c>
      <c r="B17" s="72">
        <f t="shared" si="9"/>
        <v>120</v>
      </c>
      <c r="C17" s="72">
        <f t="shared" si="25"/>
        <v>84</v>
      </c>
      <c r="D17" s="72">
        <f t="shared" si="10"/>
        <v>36</v>
      </c>
      <c r="E17" s="72">
        <f t="shared" si="11"/>
        <v>0</v>
      </c>
      <c r="F17" s="72">
        <f t="shared" si="12"/>
        <v>36</v>
      </c>
      <c r="G17" s="73">
        <f t="shared" si="13"/>
        <v>822</v>
      </c>
      <c r="H17" s="73">
        <f>ROUND($X$2/$U$6*U17,0)</f>
        <v>25</v>
      </c>
      <c r="I17" s="86">
        <f t="shared" si="26"/>
        <v>478</v>
      </c>
      <c r="J17" s="86">
        <f t="shared" si="27"/>
        <v>486</v>
      </c>
      <c r="K17" s="86">
        <f t="shared" si="14"/>
        <v>319</v>
      </c>
      <c r="L17" s="86">
        <f>ROUND($Y$2*T17*U17/$U$6,0)</f>
        <v>324</v>
      </c>
      <c r="M17" s="86">
        <f t="shared" si="28"/>
        <v>0</v>
      </c>
      <c r="N17" s="87">
        <f t="shared" si="15"/>
        <v>702</v>
      </c>
      <c r="O17" s="87">
        <v>419</v>
      </c>
      <c r="P17" s="87">
        <v>283</v>
      </c>
      <c r="Q17" s="104">
        <v>0</v>
      </c>
      <c r="R17" s="104">
        <f t="shared" si="16"/>
        <v>283</v>
      </c>
      <c r="S17" s="105"/>
      <c r="T17" s="106">
        <f t="shared" si="17"/>
        <v>1.1</v>
      </c>
      <c r="U17" s="107">
        <f t="shared" si="18"/>
        <v>23113</v>
      </c>
      <c r="V17" s="108">
        <v>6529</v>
      </c>
      <c r="W17" s="108">
        <v>16584</v>
      </c>
      <c r="X17" s="109">
        <f t="shared" si="19"/>
        <v>0</v>
      </c>
      <c r="Y17" s="108"/>
      <c r="Z17" s="108">
        <v>0</v>
      </c>
      <c r="AA17" s="117">
        <v>5415</v>
      </c>
      <c r="AB17" s="108">
        <v>5415</v>
      </c>
      <c r="AC17" s="108"/>
      <c r="AD17" s="108"/>
      <c r="AE17" s="117">
        <v>14658</v>
      </c>
      <c r="AF17" s="108">
        <v>14658</v>
      </c>
      <c r="AG17" s="108"/>
      <c r="AH17" s="123">
        <f t="shared" si="20"/>
        <v>5</v>
      </c>
      <c r="AI17" s="124">
        <f t="shared" si="21"/>
        <v>3</v>
      </c>
      <c r="AJ17" s="124">
        <f t="shared" si="22"/>
        <v>1</v>
      </c>
      <c r="AK17" s="124">
        <f t="shared" si="23"/>
        <v>1</v>
      </c>
      <c r="AL17" s="125">
        <v>68</v>
      </c>
      <c r="AM17" s="125"/>
      <c r="AO17" s="51">
        <f t="shared" si="24"/>
        <v>1.1</v>
      </c>
      <c r="AP17" s="51" t="s">
        <v>35</v>
      </c>
      <c r="AQ17" s="51" t="b">
        <f t="shared" si="8"/>
        <v>1</v>
      </c>
    </row>
    <row r="18" ht="14.25" customHeight="1" spans="1:43">
      <c r="A18" s="71" t="s">
        <v>36</v>
      </c>
      <c r="B18" s="72">
        <f t="shared" si="9"/>
        <v>2</v>
      </c>
      <c r="C18" s="72">
        <f t="shared" si="25"/>
        <v>2</v>
      </c>
      <c r="D18" s="72">
        <f t="shared" si="10"/>
        <v>0</v>
      </c>
      <c r="E18" s="72">
        <f t="shared" si="11"/>
        <v>0</v>
      </c>
      <c r="F18" s="72">
        <f t="shared" si="12"/>
        <v>0</v>
      </c>
      <c r="G18" s="73">
        <f t="shared" si="13"/>
        <v>74</v>
      </c>
      <c r="H18" s="73">
        <f>ROUND($X$2/$U$6*U18,0)</f>
        <v>2</v>
      </c>
      <c r="I18" s="86">
        <f t="shared" si="26"/>
        <v>43</v>
      </c>
      <c r="J18" s="86">
        <f t="shared" si="27"/>
        <v>44</v>
      </c>
      <c r="K18" s="86">
        <f t="shared" si="14"/>
        <v>29</v>
      </c>
      <c r="L18" s="86">
        <f>ROUND($Y$2*T18*U18/$U$6,0)</f>
        <v>30</v>
      </c>
      <c r="M18" s="86">
        <f t="shared" si="28"/>
        <v>0</v>
      </c>
      <c r="N18" s="87">
        <f t="shared" si="15"/>
        <v>72</v>
      </c>
      <c r="O18" s="87">
        <v>43</v>
      </c>
      <c r="P18" s="87">
        <v>29</v>
      </c>
      <c r="Q18" s="104">
        <v>0</v>
      </c>
      <c r="R18" s="104">
        <f t="shared" si="16"/>
        <v>29</v>
      </c>
      <c r="S18" s="105"/>
      <c r="T18" s="106">
        <f t="shared" si="17"/>
        <v>1.1</v>
      </c>
      <c r="U18" s="107">
        <f t="shared" si="18"/>
        <v>2113</v>
      </c>
      <c r="V18" s="108">
        <v>537</v>
      </c>
      <c r="W18" s="108">
        <v>1576</v>
      </c>
      <c r="X18" s="109">
        <f t="shared" si="19"/>
        <v>0</v>
      </c>
      <c r="Y18" s="108"/>
      <c r="Z18" s="108">
        <v>0</v>
      </c>
      <c r="AA18" s="117">
        <v>593</v>
      </c>
      <c r="AB18" s="108">
        <v>593</v>
      </c>
      <c r="AC18" s="108"/>
      <c r="AD18" s="108"/>
      <c r="AE18" s="117">
        <v>1844</v>
      </c>
      <c r="AF18" s="108">
        <v>1844</v>
      </c>
      <c r="AG18" s="108"/>
      <c r="AH18" s="123">
        <f t="shared" si="20"/>
        <v>0</v>
      </c>
      <c r="AI18" s="124">
        <f t="shared" si="21"/>
        <v>0</v>
      </c>
      <c r="AJ18" s="124">
        <f t="shared" si="22"/>
        <v>0</v>
      </c>
      <c r="AK18" s="124">
        <f t="shared" si="23"/>
        <v>0</v>
      </c>
      <c r="AL18" s="125"/>
      <c r="AM18" s="125"/>
      <c r="AO18" s="51">
        <f t="shared" si="24"/>
        <v>1.1</v>
      </c>
      <c r="AP18" s="51" t="s">
        <v>36</v>
      </c>
      <c r="AQ18" s="51" t="b">
        <f t="shared" si="8"/>
        <v>1</v>
      </c>
    </row>
    <row r="19" ht="14.25" customHeight="1" spans="1:39">
      <c r="A19" s="71" t="s">
        <v>37</v>
      </c>
      <c r="B19" s="72">
        <f t="shared" si="9"/>
        <v>0</v>
      </c>
      <c r="C19" s="72">
        <f t="shared" si="25"/>
        <v>0</v>
      </c>
      <c r="D19" s="72"/>
      <c r="E19" s="72"/>
      <c r="F19" s="72"/>
      <c r="G19" s="73">
        <f t="shared" si="13"/>
        <v>0</v>
      </c>
      <c r="H19" s="73">
        <f>ROUND($X$2/$U$6*U19,0)</f>
        <v>0</v>
      </c>
      <c r="I19" s="86">
        <f t="shared" si="26"/>
        <v>0</v>
      </c>
      <c r="J19" s="86"/>
      <c r="K19" s="86">
        <f t="shared" si="14"/>
        <v>0</v>
      </c>
      <c r="L19" s="86">
        <f>ROUND($Y$2*T19*U19/$U$6,0)</f>
        <v>0</v>
      </c>
      <c r="M19" s="86"/>
      <c r="N19" s="87"/>
      <c r="O19" s="87"/>
      <c r="P19" s="87"/>
      <c r="Q19" s="104"/>
      <c r="R19" s="104"/>
      <c r="S19" s="105"/>
      <c r="T19" s="106"/>
      <c r="U19" s="107"/>
      <c r="V19" s="108"/>
      <c r="W19" s="108"/>
      <c r="X19" s="109"/>
      <c r="Y19" s="108"/>
      <c r="Z19" s="108"/>
      <c r="AA19" s="117"/>
      <c r="AB19" s="108"/>
      <c r="AC19" s="108"/>
      <c r="AD19" s="108"/>
      <c r="AE19" s="117"/>
      <c r="AF19" s="108"/>
      <c r="AG19" s="108"/>
      <c r="AH19" s="123"/>
      <c r="AI19" s="124"/>
      <c r="AJ19" s="124"/>
      <c r="AK19" s="124"/>
      <c r="AL19" s="125"/>
      <c r="AM19" s="125"/>
    </row>
    <row r="20" ht="14.25" customHeight="1" spans="1:43">
      <c r="A20" s="71" t="s">
        <v>38</v>
      </c>
      <c r="B20" s="72">
        <f t="shared" si="9"/>
        <v>97</v>
      </c>
      <c r="C20" s="72">
        <f t="shared" si="25"/>
        <v>82</v>
      </c>
      <c r="D20" s="72">
        <f t="shared" ref="D20:D25" si="29">K20-P20</f>
        <v>15</v>
      </c>
      <c r="E20" s="72">
        <f t="shared" ref="E20:E25" si="30">M20-Q20</f>
        <v>0</v>
      </c>
      <c r="F20" s="72">
        <f t="shared" ref="F20:F72" si="31">D20+E20</f>
        <v>15</v>
      </c>
      <c r="G20" s="73">
        <f t="shared" si="13"/>
        <v>1512</v>
      </c>
      <c r="H20" s="73">
        <f>ROUND($X$2/$U$6*U20,0)</f>
        <v>50</v>
      </c>
      <c r="I20" s="86">
        <f t="shared" si="26"/>
        <v>877</v>
      </c>
      <c r="J20" s="86">
        <f>ROUND($R$2*T20*U20/$U$6,0)</f>
        <v>892</v>
      </c>
      <c r="K20" s="86">
        <f t="shared" si="14"/>
        <v>585</v>
      </c>
      <c r="L20" s="86">
        <f>ROUND($Y$2*T20*U20/$U$6,0)</f>
        <v>595</v>
      </c>
      <c r="M20" s="86">
        <f t="shared" ref="M20:M25" si="32">ROUND(8040*X20/$X$6,0)</f>
        <v>0</v>
      </c>
      <c r="N20" s="87">
        <f t="shared" ref="N20:N25" si="33">O20+P20</f>
        <v>1415</v>
      </c>
      <c r="O20" s="87">
        <v>845</v>
      </c>
      <c r="P20" s="87">
        <v>570</v>
      </c>
      <c r="Q20" s="104">
        <v>0</v>
      </c>
      <c r="R20" s="104">
        <f t="shared" ref="R20:R72" si="34">Q20+P20</f>
        <v>570</v>
      </c>
      <c r="S20" s="105"/>
      <c r="T20" s="106">
        <f t="shared" ref="T20:T25" si="35">AO20</f>
        <v>1</v>
      </c>
      <c r="U20" s="107">
        <f t="shared" ref="U20:U25" si="36">V20+W20</f>
        <v>46637</v>
      </c>
      <c r="V20" s="108">
        <v>17340</v>
      </c>
      <c r="W20" s="108">
        <v>29297</v>
      </c>
      <c r="X20" s="109">
        <f t="shared" ref="X20:X25" si="37">Y20+Z20</f>
        <v>0</v>
      </c>
      <c r="Y20" s="108"/>
      <c r="Z20" s="108">
        <v>0</v>
      </c>
      <c r="AA20" s="117">
        <v>19142</v>
      </c>
      <c r="AB20" s="108">
        <v>18950</v>
      </c>
      <c r="AC20" s="108">
        <v>973</v>
      </c>
      <c r="AD20" s="108"/>
      <c r="AE20" s="117">
        <v>35099</v>
      </c>
      <c r="AF20" s="108">
        <v>34943</v>
      </c>
      <c r="AG20" s="108">
        <v>255</v>
      </c>
      <c r="AH20" s="123">
        <f t="shared" ref="AH20:AH25" si="38">AI20+AJ20+AK20</f>
        <v>115</v>
      </c>
      <c r="AI20" s="124">
        <f t="shared" ref="AI20:AI25" si="39">ROUND((AL20*800+AM20*600)*0.6/10000,0)</f>
        <v>69</v>
      </c>
      <c r="AJ20" s="124">
        <f t="shared" ref="AJ20:AJ25" si="40">ROUND((AL20*800+AM20*600)*0.24/10000,0)</f>
        <v>28</v>
      </c>
      <c r="AK20" s="124">
        <f t="shared" ref="AK20:AK25" si="41">ROUND((AL20*800+AM20*600)*0.16/10000,0)</f>
        <v>18</v>
      </c>
      <c r="AL20" s="125">
        <v>55</v>
      </c>
      <c r="AM20" s="125">
        <v>1852</v>
      </c>
      <c r="AO20" s="51">
        <f t="shared" ref="AO20:AO25" si="42">IF(U20&gt;=30000,IF(U20&gt;50000,IF(U20&gt;70000,0.8,0.9),1),1.1)</f>
        <v>1</v>
      </c>
      <c r="AP20" s="51" t="s">
        <v>38</v>
      </c>
      <c r="AQ20" s="51" t="b">
        <f t="shared" ref="AQ20:AQ40" si="43">AP20=A20</f>
        <v>1</v>
      </c>
    </row>
    <row r="21" s="44" customFormat="1" ht="14.25" customHeight="1" spans="1:43">
      <c r="A21" s="74" t="s">
        <v>39</v>
      </c>
      <c r="B21" s="72">
        <f t="shared" si="9"/>
        <v>51</v>
      </c>
      <c r="C21" s="72">
        <f t="shared" si="25"/>
        <v>43</v>
      </c>
      <c r="D21" s="72">
        <f t="shared" si="29"/>
        <v>8</v>
      </c>
      <c r="E21" s="72">
        <f t="shared" si="30"/>
        <v>0</v>
      </c>
      <c r="F21" s="72">
        <f t="shared" si="31"/>
        <v>8</v>
      </c>
      <c r="G21" s="73">
        <f t="shared" si="13"/>
        <v>818</v>
      </c>
      <c r="H21" s="73">
        <f>ROUND($X$2/$U$6*U21,0)</f>
        <v>25</v>
      </c>
      <c r="I21" s="86">
        <f t="shared" si="26"/>
        <v>476</v>
      </c>
      <c r="J21" s="86">
        <f>ROUND($R$2*T21*U21/$U$6,0)</f>
        <v>484</v>
      </c>
      <c r="K21" s="86">
        <f t="shared" si="14"/>
        <v>317</v>
      </c>
      <c r="L21" s="86">
        <f>ROUND($Y$2*T21*U21/$U$6,0)</f>
        <v>322</v>
      </c>
      <c r="M21" s="86">
        <f t="shared" si="32"/>
        <v>0</v>
      </c>
      <c r="N21" s="87">
        <f t="shared" si="33"/>
        <v>767</v>
      </c>
      <c r="O21" s="87">
        <v>458</v>
      </c>
      <c r="P21" s="87">
        <v>309</v>
      </c>
      <c r="Q21" s="104">
        <v>0</v>
      </c>
      <c r="R21" s="104">
        <f t="shared" si="34"/>
        <v>309</v>
      </c>
      <c r="S21" s="105"/>
      <c r="T21" s="106">
        <f t="shared" si="35"/>
        <v>1.1</v>
      </c>
      <c r="U21" s="107">
        <f t="shared" si="36"/>
        <v>22982</v>
      </c>
      <c r="V21" s="108">
        <v>8479</v>
      </c>
      <c r="W21" s="108">
        <v>14503</v>
      </c>
      <c r="X21" s="109">
        <f t="shared" si="37"/>
        <v>0</v>
      </c>
      <c r="Y21" s="108"/>
      <c r="Z21" s="108">
        <v>0</v>
      </c>
      <c r="AA21" s="117">
        <v>8772</v>
      </c>
      <c r="AB21" s="108">
        <v>8742</v>
      </c>
      <c r="AC21" s="108">
        <v>1471</v>
      </c>
      <c r="AD21" s="108"/>
      <c r="AE21" s="117">
        <v>16910</v>
      </c>
      <c r="AF21" s="108">
        <v>16824</v>
      </c>
      <c r="AG21" s="108">
        <v>16</v>
      </c>
      <c r="AH21" s="123">
        <f t="shared" si="38"/>
        <v>305</v>
      </c>
      <c r="AI21" s="124">
        <f t="shared" si="39"/>
        <v>183</v>
      </c>
      <c r="AJ21" s="124">
        <f t="shared" si="40"/>
        <v>73</v>
      </c>
      <c r="AK21" s="124">
        <f t="shared" si="41"/>
        <v>49</v>
      </c>
      <c r="AL21" s="126">
        <v>137</v>
      </c>
      <c r="AM21" s="126">
        <v>4895</v>
      </c>
      <c r="AO21" s="51">
        <f t="shared" si="42"/>
        <v>1.1</v>
      </c>
      <c r="AP21" s="44" t="s">
        <v>39</v>
      </c>
      <c r="AQ21" s="51" t="b">
        <f t="shared" si="43"/>
        <v>1</v>
      </c>
    </row>
    <row r="22" ht="14.25" customHeight="1" spans="1:43">
      <c r="A22" s="75" t="s">
        <v>40</v>
      </c>
      <c r="B22" s="72">
        <f t="shared" si="9"/>
        <v>145</v>
      </c>
      <c r="C22" s="72">
        <f t="shared" si="25"/>
        <v>123</v>
      </c>
      <c r="D22" s="72">
        <f t="shared" si="29"/>
        <v>22</v>
      </c>
      <c r="E22" s="72">
        <f t="shared" si="30"/>
        <v>0</v>
      </c>
      <c r="F22" s="72">
        <f t="shared" si="31"/>
        <v>22</v>
      </c>
      <c r="G22" s="73">
        <f t="shared" si="13"/>
        <v>1909</v>
      </c>
      <c r="H22" s="73">
        <f>ROUND($X$2/$U$6*U22,0)</f>
        <v>78</v>
      </c>
      <c r="I22" s="86">
        <f t="shared" si="26"/>
        <v>1099</v>
      </c>
      <c r="J22" s="86">
        <f>ROUND($R$2*T22*U22/$U$6,0)</f>
        <v>1118</v>
      </c>
      <c r="K22" s="86">
        <f t="shared" si="14"/>
        <v>732</v>
      </c>
      <c r="L22" s="86">
        <f>ROUND($Y$2*T22*U22/$U$6,0)</f>
        <v>745</v>
      </c>
      <c r="M22" s="86">
        <f t="shared" si="32"/>
        <v>0</v>
      </c>
      <c r="N22" s="87">
        <f t="shared" si="33"/>
        <v>1764</v>
      </c>
      <c r="O22" s="87">
        <v>1054</v>
      </c>
      <c r="P22" s="87">
        <v>710</v>
      </c>
      <c r="Q22" s="104">
        <v>0</v>
      </c>
      <c r="R22" s="104">
        <f t="shared" si="34"/>
        <v>710</v>
      </c>
      <c r="S22" s="100" t="s">
        <v>165</v>
      </c>
      <c r="T22" s="106">
        <f t="shared" si="35"/>
        <v>0.8</v>
      </c>
      <c r="U22" s="107">
        <f t="shared" si="36"/>
        <v>73032</v>
      </c>
      <c r="V22" s="108">
        <v>26136</v>
      </c>
      <c r="W22" s="108">
        <v>46896</v>
      </c>
      <c r="X22" s="109">
        <f t="shared" si="37"/>
        <v>0</v>
      </c>
      <c r="Y22" s="108"/>
      <c r="Z22" s="108">
        <v>0</v>
      </c>
      <c r="AA22" s="117">
        <v>25608</v>
      </c>
      <c r="AB22" s="108">
        <v>23849</v>
      </c>
      <c r="AC22" s="108">
        <v>3056</v>
      </c>
      <c r="AD22" s="108"/>
      <c r="AE22" s="117">
        <v>56078</v>
      </c>
      <c r="AF22" s="108">
        <v>54936</v>
      </c>
      <c r="AG22" s="108"/>
      <c r="AH22" s="123">
        <f t="shared" si="38"/>
        <v>299</v>
      </c>
      <c r="AI22" s="124">
        <f t="shared" si="39"/>
        <v>179</v>
      </c>
      <c r="AJ22" s="124">
        <f t="shared" si="40"/>
        <v>72</v>
      </c>
      <c r="AK22" s="124">
        <f t="shared" si="41"/>
        <v>48</v>
      </c>
      <c r="AL22" s="125">
        <v>209</v>
      </c>
      <c r="AM22" s="125">
        <v>4703</v>
      </c>
      <c r="AO22" s="51">
        <f t="shared" si="42"/>
        <v>0.8</v>
      </c>
      <c r="AP22" s="51" t="s">
        <v>40</v>
      </c>
      <c r="AQ22" s="51" t="b">
        <f t="shared" si="43"/>
        <v>1</v>
      </c>
    </row>
    <row r="23" ht="14.25" customHeight="1" spans="1:43">
      <c r="A23" s="75" t="s">
        <v>41</v>
      </c>
      <c r="B23" s="72">
        <f t="shared" si="9"/>
        <v>93</v>
      </c>
      <c r="C23" s="72">
        <f t="shared" si="25"/>
        <v>88</v>
      </c>
      <c r="D23" s="72">
        <f t="shared" si="29"/>
        <v>5</v>
      </c>
      <c r="E23" s="72">
        <f t="shared" si="30"/>
        <v>0</v>
      </c>
      <c r="F23" s="72">
        <f t="shared" si="31"/>
        <v>5</v>
      </c>
      <c r="G23" s="73">
        <f t="shared" si="13"/>
        <v>1865</v>
      </c>
      <c r="H23" s="73">
        <f>ROUND($X$2/$U$6*U23,0)</f>
        <v>68</v>
      </c>
      <c r="I23" s="86">
        <f t="shared" si="26"/>
        <v>1078</v>
      </c>
      <c r="J23" s="86">
        <f>ROUND($R$2*T23*U23/$U$6,0)</f>
        <v>1096</v>
      </c>
      <c r="K23" s="86">
        <f t="shared" si="14"/>
        <v>719</v>
      </c>
      <c r="L23" s="86">
        <f>ROUND($Y$2*T23*U23/$U$6,0)</f>
        <v>731</v>
      </c>
      <c r="M23" s="86">
        <f t="shared" si="32"/>
        <v>0</v>
      </c>
      <c r="N23" s="87">
        <f t="shared" si="33"/>
        <v>1772</v>
      </c>
      <c r="O23" s="87">
        <v>1058</v>
      </c>
      <c r="P23" s="87">
        <v>714</v>
      </c>
      <c r="Q23" s="104">
        <v>0</v>
      </c>
      <c r="R23" s="104">
        <f t="shared" si="34"/>
        <v>714</v>
      </c>
      <c r="S23" s="100" t="s">
        <v>165</v>
      </c>
      <c r="T23" s="106">
        <f t="shared" si="35"/>
        <v>0.9</v>
      </c>
      <c r="U23" s="107">
        <f t="shared" si="36"/>
        <v>63678</v>
      </c>
      <c r="V23" s="108">
        <v>18652</v>
      </c>
      <c r="W23" s="108">
        <v>45026</v>
      </c>
      <c r="X23" s="109">
        <f t="shared" si="37"/>
        <v>0</v>
      </c>
      <c r="Y23" s="108"/>
      <c r="Z23" s="108">
        <v>0</v>
      </c>
      <c r="AA23" s="117">
        <v>30991</v>
      </c>
      <c r="AB23" s="108">
        <v>20389</v>
      </c>
      <c r="AC23" s="108">
        <v>8904</v>
      </c>
      <c r="AD23" s="108"/>
      <c r="AE23" s="117">
        <v>53742</v>
      </c>
      <c r="AF23" s="108">
        <v>53742</v>
      </c>
      <c r="AG23" s="108">
        <v>521</v>
      </c>
      <c r="AH23" s="123">
        <f t="shared" si="38"/>
        <v>717</v>
      </c>
      <c r="AI23" s="124">
        <f t="shared" si="39"/>
        <v>430</v>
      </c>
      <c r="AJ23" s="124">
        <f t="shared" si="40"/>
        <v>172</v>
      </c>
      <c r="AK23" s="124">
        <f t="shared" si="41"/>
        <v>115</v>
      </c>
      <c r="AL23" s="125">
        <v>82</v>
      </c>
      <c r="AM23" s="125">
        <v>11825</v>
      </c>
      <c r="AO23" s="51">
        <f t="shared" si="42"/>
        <v>0.9</v>
      </c>
      <c r="AP23" s="51" t="s">
        <v>41</v>
      </c>
      <c r="AQ23" s="51" t="b">
        <f t="shared" si="43"/>
        <v>1</v>
      </c>
    </row>
    <row r="24" ht="14.25" customHeight="1" spans="1:43">
      <c r="A24" s="75" t="s">
        <v>42</v>
      </c>
      <c r="B24" s="72">
        <f t="shared" si="9"/>
        <v>129</v>
      </c>
      <c r="C24" s="72">
        <f t="shared" si="25"/>
        <v>107</v>
      </c>
      <c r="D24" s="72">
        <f t="shared" si="29"/>
        <v>22</v>
      </c>
      <c r="E24" s="72">
        <f t="shared" si="30"/>
        <v>0</v>
      </c>
      <c r="F24" s="72">
        <f t="shared" si="31"/>
        <v>22</v>
      </c>
      <c r="G24" s="73">
        <f t="shared" si="13"/>
        <v>1708</v>
      </c>
      <c r="H24" s="73">
        <f>ROUND($X$2/$U$6*U24,0)</f>
        <v>63</v>
      </c>
      <c r="I24" s="86">
        <f t="shared" si="26"/>
        <v>987</v>
      </c>
      <c r="J24" s="86">
        <f>ROUND($R$2*T24*U24/$U$6,0)</f>
        <v>1004</v>
      </c>
      <c r="K24" s="86">
        <f t="shared" si="14"/>
        <v>658</v>
      </c>
      <c r="L24" s="86">
        <f>ROUND($Y$2*T24*U24/$U$6,0)</f>
        <v>669</v>
      </c>
      <c r="M24" s="86">
        <f t="shared" si="32"/>
        <v>0</v>
      </c>
      <c r="N24" s="87">
        <f t="shared" si="33"/>
        <v>1579</v>
      </c>
      <c r="O24" s="87">
        <v>943</v>
      </c>
      <c r="P24" s="87">
        <v>636</v>
      </c>
      <c r="Q24" s="104">
        <v>0</v>
      </c>
      <c r="R24" s="104">
        <f t="shared" si="34"/>
        <v>636</v>
      </c>
      <c r="S24" s="100" t="s">
        <v>165</v>
      </c>
      <c r="T24" s="106">
        <f t="shared" si="35"/>
        <v>0.9</v>
      </c>
      <c r="U24" s="107">
        <f t="shared" si="36"/>
        <v>58295</v>
      </c>
      <c r="V24" s="108">
        <v>20200</v>
      </c>
      <c r="W24" s="108">
        <v>38095</v>
      </c>
      <c r="X24" s="109">
        <f t="shared" si="37"/>
        <v>0</v>
      </c>
      <c r="Y24" s="108"/>
      <c r="Z24" s="108">
        <v>0</v>
      </c>
      <c r="AA24" s="117">
        <v>22558</v>
      </c>
      <c r="AB24" s="108">
        <v>21749</v>
      </c>
      <c r="AC24" s="108">
        <v>4736</v>
      </c>
      <c r="AD24" s="108"/>
      <c r="AE24" s="117">
        <v>43447</v>
      </c>
      <c r="AF24" s="108">
        <v>42481</v>
      </c>
      <c r="AG24" s="108"/>
      <c r="AH24" s="123">
        <f t="shared" si="38"/>
        <v>450</v>
      </c>
      <c r="AI24" s="124">
        <f t="shared" si="39"/>
        <v>270</v>
      </c>
      <c r="AJ24" s="124">
        <f t="shared" si="40"/>
        <v>108</v>
      </c>
      <c r="AK24" s="124">
        <f t="shared" si="41"/>
        <v>72</v>
      </c>
      <c r="AL24" s="125">
        <v>91</v>
      </c>
      <c r="AM24" s="125">
        <v>7392</v>
      </c>
      <c r="AO24" s="51">
        <f t="shared" si="42"/>
        <v>0.9</v>
      </c>
      <c r="AP24" s="51" t="s">
        <v>42</v>
      </c>
      <c r="AQ24" s="51" t="b">
        <f t="shared" si="43"/>
        <v>1</v>
      </c>
    </row>
    <row r="25" ht="14.25" customHeight="1" spans="1:43">
      <c r="A25" s="75" t="s">
        <v>43</v>
      </c>
      <c r="B25" s="72">
        <f t="shared" si="9"/>
        <v>144</v>
      </c>
      <c r="C25" s="72">
        <f t="shared" si="25"/>
        <v>122</v>
      </c>
      <c r="D25" s="72">
        <f t="shared" si="29"/>
        <v>22</v>
      </c>
      <c r="E25" s="72">
        <f t="shared" si="30"/>
        <v>0</v>
      </c>
      <c r="F25" s="72">
        <f t="shared" si="31"/>
        <v>22</v>
      </c>
      <c r="G25" s="73">
        <f t="shared" si="13"/>
        <v>1844</v>
      </c>
      <c r="H25" s="73">
        <f>ROUND($X$2/$U$6*U25,0)</f>
        <v>76</v>
      </c>
      <c r="I25" s="86">
        <f t="shared" si="26"/>
        <v>1061</v>
      </c>
      <c r="J25" s="86">
        <f>ROUND($R$2*T25*U25/$U$6,0)</f>
        <v>1079</v>
      </c>
      <c r="K25" s="86">
        <f t="shared" si="14"/>
        <v>707</v>
      </c>
      <c r="L25" s="86">
        <f>ROUND($Y$2*T25*U25/$U$6,0)</f>
        <v>719</v>
      </c>
      <c r="M25" s="86">
        <f t="shared" si="32"/>
        <v>0</v>
      </c>
      <c r="N25" s="87">
        <f t="shared" si="33"/>
        <v>1700</v>
      </c>
      <c r="O25" s="87">
        <v>1015</v>
      </c>
      <c r="P25" s="87">
        <v>685</v>
      </c>
      <c r="Q25" s="104">
        <v>0</v>
      </c>
      <c r="R25" s="104">
        <f t="shared" si="34"/>
        <v>685</v>
      </c>
      <c r="S25" s="100" t="s">
        <v>165</v>
      </c>
      <c r="T25" s="106">
        <f t="shared" si="35"/>
        <v>0.8</v>
      </c>
      <c r="U25" s="107">
        <f t="shared" si="36"/>
        <v>70503</v>
      </c>
      <c r="V25" s="108">
        <v>21051</v>
      </c>
      <c r="W25" s="108">
        <v>49452</v>
      </c>
      <c r="X25" s="109">
        <f t="shared" si="37"/>
        <v>0</v>
      </c>
      <c r="Y25" s="108">
        <v>0</v>
      </c>
      <c r="Z25" s="108">
        <v>0</v>
      </c>
      <c r="AA25" s="117">
        <v>29244</v>
      </c>
      <c r="AB25" s="108">
        <v>19060</v>
      </c>
      <c r="AC25" s="108">
        <v>10250</v>
      </c>
      <c r="AD25" s="108"/>
      <c r="AE25" s="117">
        <v>63354</v>
      </c>
      <c r="AF25" s="108">
        <v>57579</v>
      </c>
      <c r="AG25" s="108">
        <v>8402</v>
      </c>
      <c r="AH25" s="123">
        <f t="shared" si="38"/>
        <v>488</v>
      </c>
      <c r="AI25" s="124">
        <f t="shared" si="39"/>
        <v>293</v>
      </c>
      <c r="AJ25" s="124">
        <f t="shared" si="40"/>
        <v>117</v>
      </c>
      <c r="AK25" s="124">
        <f t="shared" si="41"/>
        <v>78</v>
      </c>
      <c r="AL25" s="127">
        <v>134</v>
      </c>
      <c r="AM25" s="127">
        <v>7959</v>
      </c>
      <c r="AO25" s="51">
        <f t="shared" si="42"/>
        <v>0.8</v>
      </c>
      <c r="AP25" s="51" t="s">
        <v>43</v>
      </c>
      <c r="AQ25" s="51" t="b">
        <f t="shared" si="43"/>
        <v>1</v>
      </c>
    </row>
    <row r="26" ht="14.25" customHeight="1" spans="1:43">
      <c r="A26" s="76" t="s">
        <v>44</v>
      </c>
      <c r="B26" s="77">
        <f>SUM(B27:B33)</f>
        <v>34</v>
      </c>
      <c r="C26" s="77">
        <f t="shared" ref="C26:K26" si="44">SUM(C27:C33)</f>
        <v>33</v>
      </c>
      <c r="D26" s="77">
        <f t="shared" si="44"/>
        <v>1</v>
      </c>
      <c r="E26" s="77">
        <f t="shared" si="44"/>
        <v>169</v>
      </c>
      <c r="F26" s="77">
        <f t="shared" si="44"/>
        <v>170</v>
      </c>
      <c r="G26" s="78">
        <f t="shared" si="44"/>
        <v>780</v>
      </c>
      <c r="H26" s="78">
        <f t="shared" si="44"/>
        <v>24</v>
      </c>
      <c r="I26" s="78">
        <f t="shared" si="44"/>
        <v>454</v>
      </c>
      <c r="J26" s="78">
        <f t="shared" si="44"/>
        <v>462</v>
      </c>
      <c r="K26" s="78">
        <f t="shared" si="44"/>
        <v>302</v>
      </c>
      <c r="L26" s="78">
        <f t="shared" ref="L26:Q26" si="45">SUM(L27:L33)</f>
        <v>308</v>
      </c>
      <c r="M26" s="78">
        <f t="shared" si="45"/>
        <v>1695</v>
      </c>
      <c r="N26" s="88">
        <f t="shared" si="45"/>
        <v>746</v>
      </c>
      <c r="O26" s="88">
        <f t="shared" si="45"/>
        <v>445</v>
      </c>
      <c r="P26" s="88">
        <v>301</v>
      </c>
      <c r="Q26" s="88">
        <v>1526</v>
      </c>
      <c r="R26" s="104">
        <f t="shared" si="34"/>
        <v>1827</v>
      </c>
      <c r="S26" s="100" t="s">
        <v>165</v>
      </c>
      <c r="T26" s="106"/>
      <c r="U26" s="110">
        <f t="shared" ref="U26:AC26" si="46">SUM(U27:U33)</f>
        <v>21937</v>
      </c>
      <c r="V26" s="111">
        <f t="shared" si="46"/>
        <v>8590</v>
      </c>
      <c r="W26" s="111">
        <f t="shared" si="46"/>
        <v>13347</v>
      </c>
      <c r="X26" s="110">
        <f t="shared" si="46"/>
        <v>83254</v>
      </c>
      <c r="Y26" s="111">
        <f t="shared" si="46"/>
        <v>23248</v>
      </c>
      <c r="Z26" s="111">
        <f t="shared" si="46"/>
        <v>60006</v>
      </c>
      <c r="AA26" s="110">
        <f t="shared" si="46"/>
        <v>34630</v>
      </c>
      <c r="AB26" s="110">
        <f t="shared" si="46"/>
        <v>31187</v>
      </c>
      <c r="AC26" s="110">
        <f t="shared" si="46"/>
        <v>2272</v>
      </c>
      <c r="AD26" s="110"/>
      <c r="AE26" s="110">
        <f t="shared" ref="AE26:AM26" si="47">SUM(AE27:AE33)</f>
        <v>73404</v>
      </c>
      <c r="AF26" s="110">
        <f t="shared" si="47"/>
        <v>69100</v>
      </c>
      <c r="AG26" s="110">
        <f t="shared" si="47"/>
        <v>11</v>
      </c>
      <c r="AH26" s="110">
        <f t="shared" si="47"/>
        <v>150</v>
      </c>
      <c r="AI26" s="110">
        <f t="shared" si="47"/>
        <v>90</v>
      </c>
      <c r="AJ26" s="110">
        <f t="shared" si="47"/>
        <v>36</v>
      </c>
      <c r="AK26" s="110">
        <f t="shared" si="47"/>
        <v>24</v>
      </c>
      <c r="AL26" s="110">
        <f t="shared" si="47"/>
        <v>98</v>
      </c>
      <c r="AM26" s="110">
        <f t="shared" si="47"/>
        <v>2368</v>
      </c>
      <c r="AP26" s="51" t="s">
        <v>44</v>
      </c>
      <c r="AQ26" s="51" t="b">
        <f t="shared" si="43"/>
        <v>1</v>
      </c>
    </row>
    <row r="27" ht="14.25" customHeight="1" spans="1:43">
      <c r="A27" s="71" t="s">
        <v>26</v>
      </c>
      <c r="B27" s="72">
        <f t="shared" ref="B27:B38" si="48">C27+D27</f>
        <v>-1</v>
      </c>
      <c r="C27" s="72">
        <f t="shared" ref="C27:C38" si="49">I27-O27+H27</f>
        <v>0</v>
      </c>
      <c r="D27" s="72">
        <f t="shared" ref="D27:D38" si="50">K27-P27</f>
        <v>-1</v>
      </c>
      <c r="E27" s="72">
        <f t="shared" ref="E27:E38" si="51">M27-Q27</f>
        <v>28</v>
      </c>
      <c r="F27" s="72">
        <f t="shared" ref="F27:F38" si="52">D27+E27</f>
        <v>27</v>
      </c>
      <c r="G27" s="73">
        <f t="shared" ref="G27:G38" si="53">I27+K27+H27</f>
        <v>21</v>
      </c>
      <c r="H27" s="73">
        <f>ROUND($X$2/$U$6*U27,0)</f>
        <v>1</v>
      </c>
      <c r="I27" s="86">
        <f t="shared" ref="I27:I38" si="54">ROUND(24000/24412*J27,0)</f>
        <v>12</v>
      </c>
      <c r="J27" s="86">
        <f>ROUND($R$2*T27*U27/$U$6,0)</f>
        <v>12</v>
      </c>
      <c r="K27" s="86">
        <f t="shared" ref="K27:K38" si="55">ROUND(16000/16274*L27,0)</f>
        <v>8</v>
      </c>
      <c r="L27" s="86">
        <f>ROUND($Y$2*T27*U27/$U$6,0)</f>
        <v>8</v>
      </c>
      <c r="M27" s="86">
        <f t="shared" ref="M27:M38" si="56">ROUND(8040*X27/$X$6,0)</f>
        <v>483</v>
      </c>
      <c r="N27" s="87">
        <f t="shared" ref="N27:N38" si="57">O27+P27</f>
        <v>22</v>
      </c>
      <c r="O27" s="87">
        <v>13</v>
      </c>
      <c r="P27" s="87">
        <v>9</v>
      </c>
      <c r="Q27" s="104">
        <v>455</v>
      </c>
      <c r="R27" s="104">
        <f t="shared" si="34"/>
        <v>464</v>
      </c>
      <c r="S27" s="105"/>
      <c r="T27" s="106">
        <f t="shared" ref="T27:T38" si="58">AO27</f>
        <v>1.1</v>
      </c>
      <c r="U27" s="107">
        <f t="shared" ref="U27:U38" si="59">V27+W27</f>
        <v>551</v>
      </c>
      <c r="V27" s="108">
        <v>551</v>
      </c>
      <c r="W27" s="108">
        <v>0</v>
      </c>
      <c r="X27" s="109">
        <f t="shared" ref="X27:X38" si="60">Y27+Z27</f>
        <v>23702</v>
      </c>
      <c r="Y27" s="108">
        <v>11088</v>
      </c>
      <c r="Z27" s="108">
        <v>12614</v>
      </c>
      <c r="AA27" s="117">
        <v>14897</v>
      </c>
      <c r="AB27" s="108">
        <v>11454</v>
      </c>
      <c r="AC27" s="108">
        <v>578</v>
      </c>
      <c r="AD27" s="108"/>
      <c r="AE27" s="117">
        <v>15007</v>
      </c>
      <c r="AF27" s="108">
        <v>12328</v>
      </c>
      <c r="AG27" s="108"/>
      <c r="AH27" s="123">
        <f t="shared" ref="AH27:AH38" si="61">AI27+AJ27+AK27</f>
        <v>8</v>
      </c>
      <c r="AI27" s="124">
        <f t="shared" ref="AI27:AI38" si="62">ROUND((AL27*800+AM27*600)*0.6/10000,0)</f>
        <v>5</v>
      </c>
      <c r="AJ27" s="124">
        <f t="shared" ref="AJ27:AJ38" si="63">ROUND((AL27*800+AM27*600)*0.24/10000,0)</f>
        <v>2</v>
      </c>
      <c r="AK27" s="124">
        <f t="shared" ref="AK27:AK38" si="64">ROUND((AL27*800+AM27*600)*0.16/10000,0)</f>
        <v>1</v>
      </c>
      <c r="AL27" s="125">
        <v>98</v>
      </c>
      <c r="AM27" s="125"/>
      <c r="AO27" s="51">
        <f t="shared" ref="AO27:AO38" si="65">IF(U27&gt;=30000,IF(U27&gt;50000,IF(U27&gt;70000,0.8,0.9),1),1.1)</f>
        <v>1.1</v>
      </c>
      <c r="AP27" s="51" t="s">
        <v>26</v>
      </c>
      <c r="AQ27" s="51" t="b">
        <f t="shared" si="43"/>
        <v>1</v>
      </c>
    </row>
    <row r="28" ht="14.25" customHeight="1" spans="1:43">
      <c r="A28" s="71" t="s">
        <v>45</v>
      </c>
      <c r="B28" s="72">
        <f t="shared" si="48"/>
        <v>2</v>
      </c>
      <c r="C28" s="72">
        <f t="shared" si="49"/>
        <v>3</v>
      </c>
      <c r="D28" s="72">
        <f t="shared" si="50"/>
        <v>-1</v>
      </c>
      <c r="E28" s="72">
        <f t="shared" si="51"/>
        <v>55</v>
      </c>
      <c r="F28" s="72">
        <f t="shared" si="52"/>
        <v>54</v>
      </c>
      <c r="G28" s="73">
        <f t="shared" si="53"/>
        <v>156</v>
      </c>
      <c r="H28" s="73">
        <f>ROUND($X$2/$U$6*U28,0)</f>
        <v>5</v>
      </c>
      <c r="I28" s="86">
        <f t="shared" si="54"/>
        <v>90</v>
      </c>
      <c r="J28" s="86">
        <f>ROUND($R$2*T28*U28/$U$6,0)</f>
        <v>92</v>
      </c>
      <c r="K28" s="86">
        <f t="shared" si="55"/>
        <v>61</v>
      </c>
      <c r="L28" s="86">
        <f>ROUND($Y$2*T28*U28/$U$6,0)</f>
        <v>62</v>
      </c>
      <c r="M28" s="86">
        <f t="shared" si="56"/>
        <v>439</v>
      </c>
      <c r="N28" s="87">
        <f t="shared" si="57"/>
        <v>154</v>
      </c>
      <c r="O28" s="87">
        <v>92</v>
      </c>
      <c r="P28" s="87">
        <v>62</v>
      </c>
      <c r="Q28" s="104">
        <v>384</v>
      </c>
      <c r="R28" s="104">
        <f t="shared" si="34"/>
        <v>446</v>
      </c>
      <c r="S28" s="105"/>
      <c r="T28" s="106">
        <f t="shared" si="58"/>
        <v>1.1</v>
      </c>
      <c r="U28" s="107">
        <f t="shared" si="59"/>
        <v>4389</v>
      </c>
      <c r="V28" s="108">
        <v>1598</v>
      </c>
      <c r="W28" s="108">
        <v>2791</v>
      </c>
      <c r="X28" s="109">
        <f t="shared" si="60"/>
        <v>21554</v>
      </c>
      <c r="Y28" s="108">
        <v>3989</v>
      </c>
      <c r="Z28" s="108">
        <v>17565</v>
      </c>
      <c r="AA28" s="117">
        <v>5477</v>
      </c>
      <c r="AB28" s="108">
        <v>5477</v>
      </c>
      <c r="AC28" s="108">
        <v>853</v>
      </c>
      <c r="AD28" s="108"/>
      <c r="AE28" s="117">
        <v>18437</v>
      </c>
      <c r="AF28" s="108">
        <v>18437</v>
      </c>
      <c r="AG28" s="108">
        <v>11</v>
      </c>
      <c r="AH28" s="123">
        <f t="shared" si="61"/>
        <v>32</v>
      </c>
      <c r="AI28" s="124">
        <f t="shared" si="62"/>
        <v>19</v>
      </c>
      <c r="AJ28" s="124">
        <f t="shared" si="63"/>
        <v>8</v>
      </c>
      <c r="AK28" s="124">
        <f t="shared" si="64"/>
        <v>5</v>
      </c>
      <c r="AL28" s="125"/>
      <c r="AM28" s="125">
        <v>541</v>
      </c>
      <c r="AO28" s="51">
        <f t="shared" si="65"/>
        <v>1.1</v>
      </c>
      <c r="AP28" s="51" t="s">
        <v>45</v>
      </c>
      <c r="AQ28" s="51" t="b">
        <f t="shared" si="43"/>
        <v>1</v>
      </c>
    </row>
    <row r="29" ht="14.25" customHeight="1" spans="1:43">
      <c r="A29" s="71" t="s">
        <v>46</v>
      </c>
      <c r="B29" s="72">
        <f t="shared" si="48"/>
        <v>5</v>
      </c>
      <c r="C29" s="72">
        <f t="shared" si="49"/>
        <v>6</v>
      </c>
      <c r="D29" s="72">
        <f t="shared" si="50"/>
        <v>-1</v>
      </c>
      <c r="E29" s="72">
        <f t="shared" si="51"/>
        <v>8</v>
      </c>
      <c r="F29" s="72">
        <f t="shared" si="52"/>
        <v>7</v>
      </c>
      <c r="G29" s="73">
        <f t="shared" si="53"/>
        <v>213</v>
      </c>
      <c r="H29" s="73">
        <f>ROUND($X$2/$U$6*U29,0)</f>
        <v>6</v>
      </c>
      <c r="I29" s="86">
        <f t="shared" si="54"/>
        <v>124</v>
      </c>
      <c r="J29" s="86">
        <f>ROUND($R$2*T29*U29/$U$6,0)</f>
        <v>126</v>
      </c>
      <c r="K29" s="86">
        <f t="shared" si="55"/>
        <v>83</v>
      </c>
      <c r="L29" s="86">
        <f>ROUND($Y$2*T29*U29/$U$6,0)</f>
        <v>84</v>
      </c>
      <c r="M29" s="86">
        <f t="shared" si="56"/>
        <v>112</v>
      </c>
      <c r="N29" s="87">
        <f t="shared" si="57"/>
        <v>208</v>
      </c>
      <c r="O29" s="87">
        <v>124</v>
      </c>
      <c r="P29" s="87">
        <v>84</v>
      </c>
      <c r="Q29" s="104">
        <v>104</v>
      </c>
      <c r="R29" s="104">
        <f t="shared" si="34"/>
        <v>188</v>
      </c>
      <c r="S29" s="105"/>
      <c r="T29" s="106">
        <f t="shared" si="58"/>
        <v>1.1</v>
      </c>
      <c r="U29" s="107">
        <f t="shared" si="59"/>
        <v>5992</v>
      </c>
      <c r="V29" s="108">
        <v>2154</v>
      </c>
      <c r="W29" s="108">
        <v>3838</v>
      </c>
      <c r="X29" s="109">
        <f t="shared" si="60"/>
        <v>5514</v>
      </c>
      <c r="Y29" s="108">
        <v>1233</v>
      </c>
      <c r="Z29" s="108">
        <v>4281</v>
      </c>
      <c r="AA29" s="117">
        <v>3571</v>
      </c>
      <c r="AB29" s="108">
        <v>3571</v>
      </c>
      <c r="AC29" s="108">
        <v>247</v>
      </c>
      <c r="AD29" s="108"/>
      <c r="AE29" s="117">
        <v>9108</v>
      </c>
      <c r="AF29" s="108">
        <v>9108</v>
      </c>
      <c r="AG29" s="108"/>
      <c r="AH29" s="123">
        <f t="shared" si="61"/>
        <v>47</v>
      </c>
      <c r="AI29" s="124">
        <f t="shared" si="62"/>
        <v>28</v>
      </c>
      <c r="AJ29" s="124">
        <f t="shared" si="63"/>
        <v>11</v>
      </c>
      <c r="AK29" s="124">
        <f t="shared" si="64"/>
        <v>8</v>
      </c>
      <c r="AL29" s="125"/>
      <c r="AM29" s="125">
        <v>782</v>
      </c>
      <c r="AO29" s="51">
        <f t="shared" si="65"/>
        <v>1.1</v>
      </c>
      <c r="AP29" s="51" t="s">
        <v>46</v>
      </c>
      <c r="AQ29" s="51" t="b">
        <f t="shared" si="43"/>
        <v>1</v>
      </c>
    </row>
    <row r="30" ht="14.25" customHeight="1" spans="1:43">
      <c r="A30" s="71" t="s">
        <v>47</v>
      </c>
      <c r="B30" s="72">
        <f t="shared" si="48"/>
        <v>6</v>
      </c>
      <c r="C30" s="72">
        <f t="shared" si="49"/>
        <v>6</v>
      </c>
      <c r="D30" s="72">
        <f t="shared" si="50"/>
        <v>0</v>
      </c>
      <c r="E30" s="72">
        <f t="shared" si="51"/>
        <v>45</v>
      </c>
      <c r="F30" s="72">
        <f t="shared" si="52"/>
        <v>45</v>
      </c>
      <c r="G30" s="73">
        <f t="shared" si="53"/>
        <v>120</v>
      </c>
      <c r="H30" s="73">
        <f>ROUND($X$2/$U$6*U30,0)</f>
        <v>4</v>
      </c>
      <c r="I30" s="86">
        <f t="shared" si="54"/>
        <v>70</v>
      </c>
      <c r="J30" s="86">
        <f>ROUND($R$2*T30*U30/$U$6,0)</f>
        <v>71</v>
      </c>
      <c r="K30" s="86">
        <f t="shared" si="55"/>
        <v>46</v>
      </c>
      <c r="L30" s="86">
        <f>ROUND($Y$2*T30*U30/$U$6,0)</f>
        <v>47</v>
      </c>
      <c r="M30" s="86">
        <f t="shared" si="56"/>
        <v>428</v>
      </c>
      <c r="N30" s="87">
        <f t="shared" si="57"/>
        <v>114</v>
      </c>
      <c r="O30" s="87">
        <v>68</v>
      </c>
      <c r="P30" s="87">
        <v>46</v>
      </c>
      <c r="Q30" s="104">
        <v>383</v>
      </c>
      <c r="R30" s="104">
        <f t="shared" si="34"/>
        <v>429</v>
      </c>
      <c r="S30" s="105"/>
      <c r="T30" s="106">
        <f t="shared" si="58"/>
        <v>1.1</v>
      </c>
      <c r="U30" s="107">
        <f t="shared" si="59"/>
        <v>3360</v>
      </c>
      <c r="V30" s="108">
        <v>1183</v>
      </c>
      <c r="W30" s="108">
        <v>2177</v>
      </c>
      <c r="X30" s="109">
        <f t="shared" si="60"/>
        <v>21044</v>
      </c>
      <c r="Y30" s="108">
        <v>5018</v>
      </c>
      <c r="Z30" s="108">
        <v>16026</v>
      </c>
      <c r="AA30" s="117">
        <v>5821</v>
      </c>
      <c r="AB30" s="108">
        <v>5821</v>
      </c>
      <c r="AC30" s="108">
        <v>405</v>
      </c>
      <c r="AD30" s="108"/>
      <c r="AE30" s="117">
        <v>18136</v>
      </c>
      <c r="AF30" s="108">
        <v>16511</v>
      </c>
      <c r="AG30" s="108"/>
      <c r="AH30" s="123">
        <f t="shared" si="61"/>
        <v>51</v>
      </c>
      <c r="AI30" s="124">
        <f t="shared" si="62"/>
        <v>31</v>
      </c>
      <c r="AJ30" s="124">
        <f t="shared" si="63"/>
        <v>12</v>
      </c>
      <c r="AK30" s="124">
        <f t="shared" si="64"/>
        <v>8</v>
      </c>
      <c r="AL30" s="125"/>
      <c r="AM30" s="125">
        <v>854</v>
      </c>
      <c r="AO30" s="51">
        <f t="shared" si="65"/>
        <v>1.1</v>
      </c>
      <c r="AP30" s="51" t="s">
        <v>47</v>
      </c>
      <c r="AQ30" s="51" t="b">
        <f t="shared" si="43"/>
        <v>1</v>
      </c>
    </row>
    <row r="31" ht="14.25" customHeight="1" spans="1:43">
      <c r="A31" s="71" t="s">
        <v>32</v>
      </c>
      <c r="B31" s="72">
        <f t="shared" si="48"/>
        <v>4</v>
      </c>
      <c r="C31" s="72">
        <f t="shared" si="49"/>
        <v>4</v>
      </c>
      <c r="D31" s="72">
        <f t="shared" si="50"/>
        <v>0</v>
      </c>
      <c r="E31" s="72">
        <f t="shared" si="51"/>
        <v>0</v>
      </c>
      <c r="F31" s="72">
        <f t="shared" si="52"/>
        <v>0</v>
      </c>
      <c r="G31" s="73">
        <f t="shared" si="53"/>
        <v>78</v>
      </c>
      <c r="H31" s="73">
        <f>ROUND($X$2/$U$6*U31,0)</f>
        <v>2</v>
      </c>
      <c r="I31" s="86">
        <f t="shared" si="54"/>
        <v>46</v>
      </c>
      <c r="J31" s="86">
        <f>ROUND($R$2*T31*U31/$U$6,0)</f>
        <v>47</v>
      </c>
      <c r="K31" s="86">
        <f t="shared" si="55"/>
        <v>30</v>
      </c>
      <c r="L31" s="86">
        <f>ROUND($Y$2*T31*U31/$U$6,0)</f>
        <v>31</v>
      </c>
      <c r="M31" s="86">
        <f t="shared" si="56"/>
        <v>0</v>
      </c>
      <c r="N31" s="87">
        <f t="shared" si="57"/>
        <v>74</v>
      </c>
      <c r="O31" s="87">
        <v>44</v>
      </c>
      <c r="P31" s="87">
        <v>30</v>
      </c>
      <c r="Q31" s="104">
        <v>0</v>
      </c>
      <c r="R31" s="104">
        <f t="shared" si="34"/>
        <v>30</v>
      </c>
      <c r="S31" s="105"/>
      <c r="T31" s="106">
        <f t="shared" si="58"/>
        <v>1.1</v>
      </c>
      <c r="U31" s="107">
        <f t="shared" si="59"/>
        <v>2235</v>
      </c>
      <c r="V31" s="108">
        <v>1496</v>
      </c>
      <c r="W31" s="108">
        <v>739</v>
      </c>
      <c r="X31" s="109">
        <f t="shared" si="60"/>
        <v>0</v>
      </c>
      <c r="Y31" s="108">
        <v>0</v>
      </c>
      <c r="Z31" s="108">
        <v>0</v>
      </c>
      <c r="AA31" s="117">
        <v>1581</v>
      </c>
      <c r="AB31" s="108">
        <v>1581</v>
      </c>
      <c r="AC31" s="108"/>
      <c r="AD31" s="108"/>
      <c r="AE31" s="117">
        <v>482</v>
      </c>
      <c r="AF31" s="108">
        <v>482</v>
      </c>
      <c r="AG31" s="108"/>
      <c r="AH31" s="123">
        <f t="shared" si="61"/>
        <v>0</v>
      </c>
      <c r="AI31" s="124">
        <f t="shared" si="62"/>
        <v>0</v>
      </c>
      <c r="AJ31" s="124">
        <f t="shared" si="63"/>
        <v>0</v>
      </c>
      <c r="AK31" s="124">
        <f t="shared" si="64"/>
        <v>0</v>
      </c>
      <c r="AL31" s="125"/>
      <c r="AM31" s="125"/>
      <c r="AO31" s="51">
        <f t="shared" si="65"/>
        <v>1.1</v>
      </c>
      <c r="AP31" s="51" t="s">
        <v>32</v>
      </c>
      <c r="AQ31" s="51" t="b">
        <f t="shared" si="43"/>
        <v>1</v>
      </c>
    </row>
    <row r="32" ht="14.25" customHeight="1" spans="1:43">
      <c r="A32" s="71" t="s">
        <v>33</v>
      </c>
      <c r="B32" s="72">
        <f t="shared" si="48"/>
        <v>11</v>
      </c>
      <c r="C32" s="72">
        <f t="shared" si="49"/>
        <v>8</v>
      </c>
      <c r="D32" s="72">
        <f t="shared" si="50"/>
        <v>3</v>
      </c>
      <c r="E32" s="72">
        <f t="shared" si="51"/>
        <v>0</v>
      </c>
      <c r="F32" s="72">
        <f t="shared" si="52"/>
        <v>3</v>
      </c>
      <c r="G32" s="73">
        <f t="shared" si="53"/>
        <v>93</v>
      </c>
      <c r="H32" s="73">
        <f>ROUND($X$2/$U$6*U32,0)</f>
        <v>3</v>
      </c>
      <c r="I32" s="86">
        <f t="shared" si="54"/>
        <v>54</v>
      </c>
      <c r="J32" s="86">
        <f>ROUND($R$2*T32*U32/$U$6,0)</f>
        <v>55</v>
      </c>
      <c r="K32" s="86">
        <f t="shared" si="55"/>
        <v>36</v>
      </c>
      <c r="L32" s="86">
        <f>ROUND($Y$2*T32*U32/$U$6,0)</f>
        <v>37</v>
      </c>
      <c r="M32" s="86">
        <f t="shared" si="56"/>
        <v>0</v>
      </c>
      <c r="N32" s="87">
        <f t="shared" si="57"/>
        <v>82</v>
      </c>
      <c r="O32" s="87">
        <v>49</v>
      </c>
      <c r="P32" s="87">
        <v>33</v>
      </c>
      <c r="Q32" s="104">
        <v>0</v>
      </c>
      <c r="R32" s="104">
        <f t="shared" si="34"/>
        <v>33</v>
      </c>
      <c r="S32" s="105"/>
      <c r="T32" s="106">
        <f t="shared" si="58"/>
        <v>1.1</v>
      </c>
      <c r="U32" s="107">
        <f t="shared" si="59"/>
        <v>2605</v>
      </c>
      <c r="V32" s="108">
        <v>765</v>
      </c>
      <c r="W32" s="108">
        <v>1840</v>
      </c>
      <c r="X32" s="109">
        <f t="shared" si="60"/>
        <v>0</v>
      </c>
      <c r="Y32" s="108">
        <v>0</v>
      </c>
      <c r="Z32" s="108">
        <v>0</v>
      </c>
      <c r="AA32" s="117">
        <v>699</v>
      </c>
      <c r="AB32" s="108">
        <v>699</v>
      </c>
      <c r="AC32" s="108">
        <v>21</v>
      </c>
      <c r="AD32" s="108"/>
      <c r="AE32" s="117">
        <v>1905</v>
      </c>
      <c r="AF32" s="108">
        <v>1905</v>
      </c>
      <c r="AG32" s="108"/>
      <c r="AH32" s="123">
        <f t="shared" si="61"/>
        <v>8</v>
      </c>
      <c r="AI32" s="124">
        <f t="shared" si="62"/>
        <v>5</v>
      </c>
      <c r="AJ32" s="124">
        <f t="shared" si="63"/>
        <v>2</v>
      </c>
      <c r="AK32" s="124">
        <f t="shared" si="64"/>
        <v>1</v>
      </c>
      <c r="AL32" s="125"/>
      <c r="AM32" s="125">
        <v>130</v>
      </c>
      <c r="AO32" s="51">
        <f t="shared" si="65"/>
        <v>1.1</v>
      </c>
      <c r="AP32" s="51" t="s">
        <v>33</v>
      </c>
      <c r="AQ32" s="51" t="b">
        <f t="shared" si="43"/>
        <v>1</v>
      </c>
    </row>
    <row r="33" ht="14.25" customHeight="1" spans="1:43">
      <c r="A33" s="71" t="s">
        <v>48</v>
      </c>
      <c r="B33" s="72">
        <f t="shared" si="48"/>
        <v>7</v>
      </c>
      <c r="C33" s="72">
        <f t="shared" si="49"/>
        <v>6</v>
      </c>
      <c r="D33" s="72">
        <f t="shared" si="50"/>
        <v>1</v>
      </c>
      <c r="E33" s="72">
        <f t="shared" si="51"/>
        <v>33</v>
      </c>
      <c r="F33" s="72">
        <f t="shared" si="52"/>
        <v>34</v>
      </c>
      <c r="G33" s="73">
        <f t="shared" si="53"/>
        <v>99</v>
      </c>
      <c r="H33" s="73">
        <f>ROUND($X$2/$U$6*U33,0)</f>
        <v>3</v>
      </c>
      <c r="I33" s="86">
        <f t="shared" si="54"/>
        <v>58</v>
      </c>
      <c r="J33" s="86">
        <f>ROUND($R$2*T33*U33/$U$6,0)</f>
        <v>59</v>
      </c>
      <c r="K33" s="86">
        <f t="shared" si="55"/>
        <v>38</v>
      </c>
      <c r="L33" s="86">
        <f>ROUND($Y$2*T33*U33/$U$6,0)</f>
        <v>39</v>
      </c>
      <c r="M33" s="86">
        <f t="shared" si="56"/>
        <v>233</v>
      </c>
      <c r="N33" s="87">
        <f t="shared" si="57"/>
        <v>92</v>
      </c>
      <c r="O33" s="87">
        <v>55</v>
      </c>
      <c r="P33" s="87">
        <v>37</v>
      </c>
      <c r="Q33" s="104">
        <v>200</v>
      </c>
      <c r="R33" s="104">
        <f t="shared" si="34"/>
        <v>237</v>
      </c>
      <c r="S33" s="105"/>
      <c r="T33" s="106">
        <f t="shared" si="58"/>
        <v>1.1</v>
      </c>
      <c r="U33" s="107">
        <f t="shared" si="59"/>
        <v>2805</v>
      </c>
      <c r="V33" s="108">
        <v>843</v>
      </c>
      <c r="W33" s="108">
        <v>1962</v>
      </c>
      <c r="X33" s="109">
        <f t="shared" si="60"/>
        <v>11440</v>
      </c>
      <c r="Y33" s="108">
        <v>1920</v>
      </c>
      <c r="Z33" s="108">
        <v>9520</v>
      </c>
      <c r="AA33" s="117">
        <v>2584</v>
      </c>
      <c r="AB33" s="108">
        <v>2584</v>
      </c>
      <c r="AC33" s="108">
        <v>168</v>
      </c>
      <c r="AD33" s="108"/>
      <c r="AE33" s="117">
        <v>10329</v>
      </c>
      <c r="AF33" s="108">
        <v>10329</v>
      </c>
      <c r="AG33" s="108"/>
      <c r="AH33" s="123">
        <f t="shared" si="61"/>
        <v>4</v>
      </c>
      <c r="AI33" s="124">
        <f t="shared" si="62"/>
        <v>2</v>
      </c>
      <c r="AJ33" s="124">
        <f t="shared" si="63"/>
        <v>1</v>
      </c>
      <c r="AK33" s="124">
        <f t="shared" si="64"/>
        <v>1</v>
      </c>
      <c r="AL33" s="125"/>
      <c r="AM33" s="125">
        <v>61</v>
      </c>
      <c r="AO33" s="51">
        <f t="shared" si="65"/>
        <v>1.1</v>
      </c>
      <c r="AP33" s="51" t="s">
        <v>48</v>
      </c>
      <c r="AQ33" s="51" t="b">
        <f t="shared" si="43"/>
        <v>1</v>
      </c>
    </row>
    <row r="34" ht="14.25" customHeight="1" spans="1:43">
      <c r="A34" s="75" t="s">
        <v>49</v>
      </c>
      <c r="B34" s="72">
        <f t="shared" si="48"/>
        <v>56</v>
      </c>
      <c r="C34" s="72">
        <f t="shared" si="49"/>
        <v>44</v>
      </c>
      <c r="D34" s="72">
        <f t="shared" si="50"/>
        <v>12</v>
      </c>
      <c r="E34" s="72">
        <f t="shared" si="51"/>
        <v>0</v>
      </c>
      <c r="F34" s="72">
        <f t="shared" si="52"/>
        <v>12</v>
      </c>
      <c r="G34" s="73">
        <f t="shared" si="53"/>
        <v>704</v>
      </c>
      <c r="H34" s="73">
        <f>ROUND($X$2/$U$6*U34,0)</f>
        <v>21</v>
      </c>
      <c r="I34" s="86">
        <f t="shared" si="54"/>
        <v>410</v>
      </c>
      <c r="J34" s="86">
        <f>ROUND($R$2*T34*U34/$U$6,0)</f>
        <v>417</v>
      </c>
      <c r="K34" s="86">
        <f t="shared" si="55"/>
        <v>273</v>
      </c>
      <c r="L34" s="86">
        <f>ROUND($Y$2*T34*U34/$U$6,0)</f>
        <v>278</v>
      </c>
      <c r="M34" s="86">
        <f t="shared" si="56"/>
        <v>0</v>
      </c>
      <c r="N34" s="87">
        <f t="shared" si="57"/>
        <v>648</v>
      </c>
      <c r="O34" s="87">
        <v>387</v>
      </c>
      <c r="P34" s="87">
        <v>261</v>
      </c>
      <c r="Q34" s="104">
        <v>0</v>
      </c>
      <c r="R34" s="104">
        <f t="shared" si="34"/>
        <v>261</v>
      </c>
      <c r="S34" s="100" t="s">
        <v>165</v>
      </c>
      <c r="T34" s="106">
        <f t="shared" si="58"/>
        <v>1.1</v>
      </c>
      <c r="U34" s="107">
        <f t="shared" si="59"/>
        <v>19809</v>
      </c>
      <c r="V34" s="108">
        <v>6906</v>
      </c>
      <c r="W34" s="108">
        <v>12903</v>
      </c>
      <c r="X34" s="109">
        <f t="shared" si="60"/>
        <v>0</v>
      </c>
      <c r="Y34" s="108">
        <v>0</v>
      </c>
      <c r="Z34" s="108">
        <v>0</v>
      </c>
      <c r="AA34" s="117">
        <v>6630</v>
      </c>
      <c r="AB34" s="108">
        <v>6630</v>
      </c>
      <c r="AC34" s="108">
        <v>882</v>
      </c>
      <c r="AD34" s="108"/>
      <c r="AE34" s="117">
        <v>14516</v>
      </c>
      <c r="AF34" s="108">
        <v>14516</v>
      </c>
      <c r="AG34" s="108">
        <v>1</v>
      </c>
      <c r="AH34" s="123">
        <f t="shared" si="61"/>
        <v>50</v>
      </c>
      <c r="AI34" s="124">
        <f t="shared" si="62"/>
        <v>30</v>
      </c>
      <c r="AJ34" s="124">
        <f t="shared" si="63"/>
        <v>12</v>
      </c>
      <c r="AK34" s="124">
        <f t="shared" si="64"/>
        <v>8</v>
      </c>
      <c r="AL34" s="125"/>
      <c r="AM34" s="125">
        <v>821</v>
      </c>
      <c r="AO34" s="51">
        <f t="shared" si="65"/>
        <v>1.1</v>
      </c>
      <c r="AP34" s="51" t="s">
        <v>49</v>
      </c>
      <c r="AQ34" s="51" t="b">
        <f t="shared" si="43"/>
        <v>1</v>
      </c>
    </row>
    <row r="35" ht="14.25" customHeight="1" spans="1:43">
      <c r="A35" s="75" t="s">
        <v>50</v>
      </c>
      <c r="B35" s="72">
        <f t="shared" si="48"/>
        <v>41</v>
      </c>
      <c r="C35" s="72">
        <f t="shared" si="49"/>
        <v>37</v>
      </c>
      <c r="D35" s="72">
        <f t="shared" si="50"/>
        <v>4</v>
      </c>
      <c r="E35" s="72">
        <f t="shared" si="51"/>
        <v>0</v>
      </c>
      <c r="F35" s="72">
        <f t="shared" si="52"/>
        <v>4</v>
      </c>
      <c r="G35" s="73">
        <f t="shared" si="53"/>
        <v>841</v>
      </c>
      <c r="H35" s="73">
        <f>ROUND($X$2/$U$6*U35,0)</f>
        <v>25</v>
      </c>
      <c r="I35" s="86">
        <f t="shared" si="54"/>
        <v>490</v>
      </c>
      <c r="J35" s="86">
        <f>ROUND($R$2*T35*U35/$U$6,0)</f>
        <v>498</v>
      </c>
      <c r="K35" s="86">
        <f t="shared" si="55"/>
        <v>326</v>
      </c>
      <c r="L35" s="86">
        <f>ROUND($Y$2*T35*U35/$U$6,0)</f>
        <v>332</v>
      </c>
      <c r="M35" s="86">
        <f t="shared" si="56"/>
        <v>0</v>
      </c>
      <c r="N35" s="87">
        <f t="shared" si="57"/>
        <v>800</v>
      </c>
      <c r="O35" s="87">
        <v>478</v>
      </c>
      <c r="P35" s="87">
        <v>322</v>
      </c>
      <c r="Q35" s="104">
        <v>0</v>
      </c>
      <c r="R35" s="104">
        <f t="shared" si="34"/>
        <v>322</v>
      </c>
      <c r="S35" s="100" t="s">
        <v>165</v>
      </c>
      <c r="T35" s="106">
        <f t="shared" si="58"/>
        <v>1.1</v>
      </c>
      <c r="U35" s="107">
        <f t="shared" si="59"/>
        <v>23680</v>
      </c>
      <c r="V35" s="108">
        <v>8754</v>
      </c>
      <c r="W35" s="108">
        <v>14926</v>
      </c>
      <c r="X35" s="109">
        <f t="shared" si="60"/>
        <v>0</v>
      </c>
      <c r="Y35" s="108">
        <v>0</v>
      </c>
      <c r="Z35" s="108">
        <v>0</v>
      </c>
      <c r="AA35" s="117">
        <v>10312</v>
      </c>
      <c r="AB35" s="108">
        <v>10312</v>
      </c>
      <c r="AC35" s="108">
        <v>2004</v>
      </c>
      <c r="AD35" s="108"/>
      <c r="AE35" s="117">
        <v>16904</v>
      </c>
      <c r="AF35" s="108">
        <v>16904</v>
      </c>
      <c r="AG35" s="108">
        <v>184</v>
      </c>
      <c r="AH35" s="123">
        <f t="shared" si="61"/>
        <v>305</v>
      </c>
      <c r="AI35" s="124">
        <f t="shared" si="62"/>
        <v>183</v>
      </c>
      <c r="AJ35" s="124">
        <f t="shared" si="63"/>
        <v>73</v>
      </c>
      <c r="AK35" s="124">
        <f t="shared" si="64"/>
        <v>49</v>
      </c>
      <c r="AL35" s="125"/>
      <c r="AM35" s="125">
        <v>5083</v>
      </c>
      <c r="AO35" s="51">
        <f t="shared" si="65"/>
        <v>1.1</v>
      </c>
      <c r="AP35" s="51" t="s">
        <v>50</v>
      </c>
      <c r="AQ35" s="51" t="b">
        <f t="shared" si="43"/>
        <v>1</v>
      </c>
    </row>
    <row r="36" ht="14.25" customHeight="1" spans="1:43">
      <c r="A36" s="75" t="s">
        <v>51</v>
      </c>
      <c r="B36" s="72">
        <f t="shared" si="48"/>
        <v>153</v>
      </c>
      <c r="C36" s="72">
        <f t="shared" si="49"/>
        <v>107</v>
      </c>
      <c r="D36" s="72">
        <f t="shared" si="50"/>
        <v>46</v>
      </c>
      <c r="E36" s="72">
        <f t="shared" si="51"/>
        <v>0</v>
      </c>
      <c r="F36" s="72">
        <f t="shared" si="52"/>
        <v>46</v>
      </c>
      <c r="G36" s="73">
        <f t="shared" si="53"/>
        <v>1036</v>
      </c>
      <c r="H36" s="73">
        <f>ROUND($X$2/$U$6*U36,0)</f>
        <v>31</v>
      </c>
      <c r="I36" s="86">
        <f t="shared" si="54"/>
        <v>603</v>
      </c>
      <c r="J36" s="86">
        <f>ROUND($R$2*T36*U36/$U$6,0)</f>
        <v>613</v>
      </c>
      <c r="K36" s="86">
        <f t="shared" si="55"/>
        <v>402</v>
      </c>
      <c r="L36" s="86">
        <f>ROUND($Y$2*T36*U36/$U$6,0)</f>
        <v>409</v>
      </c>
      <c r="M36" s="86">
        <f t="shared" si="56"/>
        <v>0</v>
      </c>
      <c r="N36" s="87">
        <f t="shared" si="57"/>
        <v>883</v>
      </c>
      <c r="O36" s="87">
        <v>527</v>
      </c>
      <c r="P36" s="87">
        <v>356</v>
      </c>
      <c r="Q36" s="104">
        <v>0</v>
      </c>
      <c r="R36" s="104">
        <f t="shared" si="34"/>
        <v>356</v>
      </c>
      <c r="S36" s="100" t="s">
        <v>165</v>
      </c>
      <c r="T36" s="106">
        <f t="shared" si="58"/>
        <v>1.1</v>
      </c>
      <c r="U36" s="107">
        <f t="shared" si="59"/>
        <v>29123</v>
      </c>
      <c r="V36" s="108">
        <v>10960</v>
      </c>
      <c r="W36" s="108">
        <v>18163</v>
      </c>
      <c r="X36" s="109">
        <f t="shared" si="60"/>
        <v>0</v>
      </c>
      <c r="Y36" s="108">
        <v>0</v>
      </c>
      <c r="Z36" s="108">
        <v>0</v>
      </c>
      <c r="AA36" s="117">
        <v>11418</v>
      </c>
      <c r="AB36" s="108">
        <v>11418</v>
      </c>
      <c r="AC36" s="108">
        <v>5101</v>
      </c>
      <c r="AD36" s="108"/>
      <c r="AE36" s="117">
        <v>20971</v>
      </c>
      <c r="AF36" s="108">
        <v>20971</v>
      </c>
      <c r="AG36" s="108">
        <v>3108</v>
      </c>
      <c r="AH36" s="123">
        <f t="shared" si="61"/>
        <v>126</v>
      </c>
      <c r="AI36" s="124">
        <f t="shared" si="62"/>
        <v>76</v>
      </c>
      <c r="AJ36" s="124">
        <f t="shared" si="63"/>
        <v>30</v>
      </c>
      <c r="AK36" s="124">
        <f t="shared" si="64"/>
        <v>20</v>
      </c>
      <c r="AL36" s="125"/>
      <c r="AM36" s="125">
        <v>2116</v>
      </c>
      <c r="AO36" s="51">
        <f t="shared" si="65"/>
        <v>1.1</v>
      </c>
      <c r="AP36" s="51" t="s">
        <v>51</v>
      </c>
      <c r="AQ36" s="51" t="b">
        <f t="shared" si="43"/>
        <v>1</v>
      </c>
    </row>
    <row r="37" ht="14.25" customHeight="1" spans="1:43">
      <c r="A37" s="75" t="s">
        <v>52</v>
      </c>
      <c r="B37" s="72">
        <f t="shared" si="48"/>
        <v>71</v>
      </c>
      <c r="C37" s="72">
        <f t="shared" si="49"/>
        <v>60</v>
      </c>
      <c r="D37" s="72">
        <f t="shared" si="50"/>
        <v>11</v>
      </c>
      <c r="E37" s="72">
        <f t="shared" si="51"/>
        <v>0</v>
      </c>
      <c r="F37" s="72">
        <f t="shared" si="52"/>
        <v>11</v>
      </c>
      <c r="G37" s="73">
        <f t="shared" si="53"/>
        <v>1081</v>
      </c>
      <c r="H37" s="73">
        <f>ROUND($X$2/$U$6*U37,0)</f>
        <v>36</v>
      </c>
      <c r="I37" s="86">
        <f t="shared" si="54"/>
        <v>627</v>
      </c>
      <c r="J37" s="86">
        <f>ROUND($R$2*T37*U37/$U$6,0)</f>
        <v>638</v>
      </c>
      <c r="K37" s="86">
        <f t="shared" si="55"/>
        <v>418</v>
      </c>
      <c r="L37" s="86">
        <f>ROUND($Y$2*T37*U37/$U$6,0)</f>
        <v>425</v>
      </c>
      <c r="M37" s="86">
        <f t="shared" si="56"/>
        <v>0</v>
      </c>
      <c r="N37" s="87">
        <f t="shared" si="57"/>
        <v>1010</v>
      </c>
      <c r="O37" s="87">
        <v>603</v>
      </c>
      <c r="P37" s="87">
        <v>407</v>
      </c>
      <c r="Q37" s="104">
        <v>0</v>
      </c>
      <c r="R37" s="104">
        <f t="shared" si="34"/>
        <v>407</v>
      </c>
      <c r="S37" s="100" t="s">
        <v>165</v>
      </c>
      <c r="T37" s="106">
        <f t="shared" si="58"/>
        <v>1</v>
      </c>
      <c r="U37" s="107">
        <f t="shared" si="59"/>
        <v>33345</v>
      </c>
      <c r="V37" s="108">
        <v>12812</v>
      </c>
      <c r="W37" s="108">
        <v>20533</v>
      </c>
      <c r="X37" s="109">
        <f t="shared" si="60"/>
        <v>0</v>
      </c>
      <c r="Y37" s="108">
        <v>0</v>
      </c>
      <c r="Z37" s="108">
        <v>0</v>
      </c>
      <c r="AA37" s="117">
        <v>12508</v>
      </c>
      <c r="AB37" s="108">
        <v>12508</v>
      </c>
      <c r="AC37" s="108">
        <v>5907</v>
      </c>
      <c r="AD37" s="108"/>
      <c r="AE37" s="117">
        <v>24466</v>
      </c>
      <c r="AF37" s="108">
        <v>24466</v>
      </c>
      <c r="AG37" s="108">
        <v>7</v>
      </c>
      <c r="AH37" s="123">
        <f t="shared" si="61"/>
        <v>282</v>
      </c>
      <c r="AI37" s="124">
        <f t="shared" si="62"/>
        <v>169</v>
      </c>
      <c r="AJ37" s="124">
        <f t="shared" si="63"/>
        <v>68</v>
      </c>
      <c r="AK37" s="124">
        <f t="shared" si="64"/>
        <v>45</v>
      </c>
      <c r="AL37" s="125"/>
      <c r="AM37" s="125">
        <v>4693</v>
      </c>
      <c r="AO37" s="51">
        <f t="shared" si="65"/>
        <v>1</v>
      </c>
      <c r="AP37" s="51" t="s">
        <v>52</v>
      </c>
      <c r="AQ37" s="51" t="b">
        <f t="shared" si="43"/>
        <v>1</v>
      </c>
    </row>
    <row r="38" ht="14.25" customHeight="1" spans="1:43">
      <c r="A38" s="75" t="s">
        <v>53</v>
      </c>
      <c r="B38" s="72">
        <f t="shared" si="48"/>
        <v>91</v>
      </c>
      <c r="C38" s="72">
        <f t="shared" si="49"/>
        <v>71</v>
      </c>
      <c r="D38" s="72">
        <f t="shared" si="50"/>
        <v>20</v>
      </c>
      <c r="E38" s="72">
        <f t="shared" si="51"/>
        <v>0</v>
      </c>
      <c r="F38" s="72">
        <f t="shared" si="52"/>
        <v>20</v>
      </c>
      <c r="G38" s="73">
        <f t="shared" si="53"/>
        <v>994</v>
      </c>
      <c r="H38" s="73">
        <f>ROUND($X$2/$U$6*U38,0)</f>
        <v>33</v>
      </c>
      <c r="I38" s="86">
        <f t="shared" si="54"/>
        <v>577</v>
      </c>
      <c r="J38" s="86">
        <f>ROUND($R$2*T38*U38/$U$6,0)</f>
        <v>587</v>
      </c>
      <c r="K38" s="86">
        <f t="shared" si="55"/>
        <v>384</v>
      </c>
      <c r="L38" s="86">
        <f>ROUND($Y$2*T38*U38/$U$6,0)</f>
        <v>391</v>
      </c>
      <c r="M38" s="86">
        <f t="shared" si="56"/>
        <v>0</v>
      </c>
      <c r="N38" s="87">
        <f t="shared" si="57"/>
        <v>903</v>
      </c>
      <c r="O38" s="87">
        <v>539</v>
      </c>
      <c r="P38" s="87">
        <v>364</v>
      </c>
      <c r="Q38" s="104">
        <v>0</v>
      </c>
      <c r="R38" s="104">
        <f t="shared" si="34"/>
        <v>364</v>
      </c>
      <c r="S38" s="100" t="s">
        <v>165</v>
      </c>
      <c r="T38" s="106">
        <f t="shared" si="58"/>
        <v>1</v>
      </c>
      <c r="U38" s="107">
        <f t="shared" si="59"/>
        <v>30668</v>
      </c>
      <c r="V38" s="108">
        <v>10386</v>
      </c>
      <c r="W38" s="108">
        <v>20282</v>
      </c>
      <c r="X38" s="109">
        <f t="shared" si="60"/>
        <v>0</v>
      </c>
      <c r="Y38" s="108">
        <v>0</v>
      </c>
      <c r="Z38" s="108">
        <v>0</v>
      </c>
      <c r="AA38" s="117">
        <v>10561</v>
      </c>
      <c r="AB38" s="108">
        <v>10561</v>
      </c>
      <c r="AC38" s="108">
        <v>4707</v>
      </c>
      <c r="AD38" s="108"/>
      <c r="AE38" s="117">
        <v>21399</v>
      </c>
      <c r="AF38" s="108">
        <v>21399</v>
      </c>
      <c r="AG38" s="108">
        <v>1507</v>
      </c>
      <c r="AH38" s="123">
        <f t="shared" si="61"/>
        <v>77</v>
      </c>
      <c r="AI38" s="124">
        <f t="shared" si="62"/>
        <v>46</v>
      </c>
      <c r="AJ38" s="124">
        <f t="shared" si="63"/>
        <v>19</v>
      </c>
      <c r="AK38" s="124">
        <f t="shared" si="64"/>
        <v>12</v>
      </c>
      <c r="AL38" s="125"/>
      <c r="AM38" s="125">
        <v>1286</v>
      </c>
      <c r="AO38" s="51">
        <f t="shared" si="65"/>
        <v>1</v>
      </c>
      <c r="AP38" s="51" t="s">
        <v>53</v>
      </c>
      <c r="AQ38" s="51" t="b">
        <f t="shared" si="43"/>
        <v>1</v>
      </c>
    </row>
    <row r="39" ht="14.25" customHeight="1" spans="1:43">
      <c r="A39" s="76" t="s">
        <v>54</v>
      </c>
      <c r="B39" s="77">
        <f>SUM(B40:B42)</f>
        <v>-1</v>
      </c>
      <c r="C39" s="77">
        <f t="shared" ref="C39:K39" si="66">SUM(C40:C42)</f>
        <v>1</v>
      </c>
      <c r="D39" s="77">
        <f t="shared" si="66"/>
        <v>-2</v>
      </c>
      <c r="E39" s="77">
        <f t="shared" si="66"/>
        <v>54</v>
      </c>
      <c r="F39" s="77">
        <f t="shared" si="66"/>
        <v>52</v>
      </c>
      <c r="G39" s="78">
        <f t="shared" si="66"/>
        <v>94</v>
      </c>
      <c r="H39" s="78">
        <f t="shared" si="66"/>
        <v>3</v>
      </c>
      <c r="I39" s="78">
        <f t="shared" si="66"/>
        <v>55</v>
      </c>
      <c r="J39" s="78">
        <f t="shared" si="66"/>
        <v>56</v>
      </c>
      <c r="K39" s="78">
        <f t="shared" si="66"/>
        <v>36</v>
      </c>
      <c r="L39" s="78">
        <f t="shared" ref="L39:Q39" si="67">SUM(L40:L42)</f>
        <v>37</v>
      </c>
      <c r="M39" s="78">
        <f t="shared" si="67"/>
        <v>714</v>
      </c>
      <c r="N39" s="88">
        <f t="shared" si="67"/>
        <v>95</v>
      </c>
      <c r="O39" s="88">
        <v>57</v>
      </c>
      <c r="P39" s="88">
        <v>38</v>
      </c>
      <c r="Q39" s="88">
        <v>660</v>
      </c>
      <c r="R39" s="104">
        <f t="shared" si="34"/>
        <v>698</v>
      </c>
      <c r="S39" s="100" t="s">
        <v>165</v>
      </c>
      <c r="T39" s="106"/>
      <c r="U39" s="110">
        <f t="shared" ref="U39:AC39" si="68">SUM(U40:U42)</f>
        <v>2635</v>
      </c>
      <c r="V39" s="111">
        <f t="shared" si="68"/>
        <v>804</v>
      </c>
      <c r="W39" s="111">
        <f t="shared" si="68"/>
        <v>1831</v>
      </c>
      <c r="X39" s="110">
        <f t="shared" si="68"/>
        <v>35046</v>
      </c>
      <c r="Y39" s="111">
        <f t="shared" si="68"/>
        <v>11633</v>
      </c>
      <c r="Z39" s="111">
        <f t="shared" si="68"/>
        <v>23413</v>
      </c>
      <c r="AA39" s="110">
        <f t="shared" si="68"/>
        <v>16762</v>
      </c>
      <c r="AB39" s="110">
        <f t="shared" si="68"/>
        <v>14974</v>
      </c>
      <c r="AC39" s="110">
        <f t="shared" si="68"/>
        <v>1018</v>
      </c>
      <c r="AD39" s="110"/>
      <c r="AE39" s="110">
        <f t="shared" ref="AE39:AM39" si="69">SUM(AE40:AE42)</f>
        <v>29829</v>
      </c>
      <c r="AF39" s="110">
        <f t="shared" si="69"/>
        <v>28202</v>
      </c>
      <c r="AG39" s="110">
        <f t="shared" si="69"/>
        <v>45</v>
      </c>
      <c r="AH39" s="110">
        <f t="shared" si="69"/>
        <v>27</v>
      </c>
      <c r="AI39" s="110">
        <f t="shared" si="69"/>
        <v>16</v>
      </c>
      <c r="AJ39" s="110">
        <f t="shared" si="69"/>
        <v>7</v>
      </c>
      <c r="AK39" s="110">
        <f t="shared" si="69"/>
        <v>4</v>
      </c>
      <c r="AL39" s="110">
        <f t="shared" si="69"/>
        <v>0</v>
      </c>
      <c r="AM39" s="110">
        <f t="shared" si="69"/>
        <v>443</v>
      </c>
      <c r="AP39" s="51" t="s">
        <v>54</v>
      </c>
      <c r="AQ39" s="51" t="b">
        <f t="shared" si="43"/>
        <v>1</v>
      </c>
    </row>
    <row r="40" ht="14.25" customHeight="1" spans="1:43">
      <c r="A40" s="71" t="s">
        <v>26</v>
      </c>
      <c r="B40" s="72">
        <f t="shared" ref="B40:B45" si="70">C40+D40</f>
        <v>0</v>
      </c>
      <c r="C40" s="72">
        <f t="shared" ref="C40:C45" si="71">I40-O40+H40</f>
        <v>0</v>
      </c>
      <c r="D40" s="72">
        <f t="shared" ref="D40:D45" si="72">K40-P40</f>
        <v>0</v>
      </c>
      <c r="E40" s="72">
        <f t="shared" ref="E40:E45" si="73">M40-Q40</f>
        <v>0</v>
      </c>
      <c r="F40" s="72">
        <f t="shared" ref="F40:F44" si="74">D40+E40</f>
        <v>0</v>
      </c>
      <c r="G40" s="73">
        <f t="shared" ref="G40:G45" si="75">I40+K40+H40</f>
        <v>0</v>
      </c>
      <c r="H40" s="73">
        <f>ROUND($X$2/$U$6*U40,0)</f>
        <v>0</v>
      </c>
      <c r="I40" s="86">
        <f t="shared" ref="I40:I45" si="76">ROUND(24000/24412*J40,0)</f>
        <v>0</v>
      </c>
      <c r="J40" s="86">
        <f>ROUND($R$2*T40*U40/$U$6,0)</f>
        <v>0</v>
      </c>
      <c r="K40" s="86">
        <f t="shared" ref="K40:K45" si="77">ROUND(16000/16274*L40,0)</f>
        <v>0</v>
      </c>
      <c r="L40" s="86">
        <f>ROUND($Y$2*T40*U40/$U$6,0)</f>
        <v>0</v>
      </c>
      <c r="M40" s="86">
        <f t="shared" ref="M40:M45" si="78">ROUND(8040*X40/$X$6,0)</f>
        <v>0</v>
      </c>
      <c r="N40" s="87">
        <f t="shared" ref="N40:N45" si="79">O40+P40</f>
        <v>0</v>
      </c>
      <c r="O40" s="87">
        <v>0</v>
      </c>
      <c r="P40" s="87">
        <v>0</v>
      </c>
      <c r="Q40" s="104">
        <v>0</v>
      </c>
      <c r="R40" s="104">
        <f t="shared" si="34"/>
        <v>0</v>
      </c>
      <c r="S40" s="105"/>
      <c r="T40" s="106">
        <f t="shared" ref="T40:T45" si="80">AO40</f>
        <v>1.1</v>
      </c>
      <c r="U40" s="107">
        <f t="shared" ref="U40:U45" si="81">V40+W40</f>
        <v>0</v>
      </c>
      <c r="V40" s="108">
        <v>0</v>
      </c>
      <c r="W40" s="108">
        <v>0</v>
      </c>
      <c r="X40" s="109">
        <f t="shared" ref="X40:X45" si="82">Y40+Z40</f>
        <v>0</v>
      </c>
      <c r="Y40" s="118">
        <v>0</v>
      </c>
      <c r="Z40" s="118">
        <v>0</v>
      </c>
      <c r="AA40" s="117">
        <v>0</v>
      </c>
      <c r="AB40" s="108">
        <v>0</v>
      </c>
      <c r="AC40" s="108"/>
      <c r="AD40" s="108"/>
      <c r="AE40" s="117">
        <v>0</v>
      </c>
      <c r="AF40" s="108">
        <v>0</v>
      </c>
      <c r="AG40" s="108"/>
      <c r="AH40" s="123">
        <f t="shared" ref="AH40:AH45" si="83">AI40+AJ40+AK40</f>
        <v>0</v>
      </c>
      <c r="AI40" s="124">
        <f t="shared" ref="AI40:AI45" si="84">ROUND((AL40*800+AM40*600)*0.6/10000,0)</f>
        <v>0</v>
      </c>
      <c r="AJ40" s="124">
        <f t="shared" ref="AJ40:AJ45" si="85">ROUND((AL40*800+AM40*600)*0.24/10000,0)</f>
        <v>0</v>
      </c>
      <c r="AK40" s="124">
        <f t="shared" ref="AK40:AK45" si="86">ROUND((AL40*800+AM40*600)*0.16/10000,0)</f>
        <v>0</v>
      </c>
      <c r="AL40" s="125"/>
      <c r="AM40" s="125"/>
      <c r="AO40" s="51">
        <f t="shared" ref="AO40:AO45" si="87">IF(U40&gt;=30000,IF(U40&gt;50000,IF(U40&gt;70000,0.8,0.9),1),1.1)</f>
        <v>1.1</v>
      </c>
      <c r="AP40" s="51" t="s">
        <v>26</v>
      </c>
      <c r="AQ40" s="51" t="b">
        <f t="shared" si="43"/>
        <v>1</v>
      </c>
    </row>
    <row r="41" ht="14.25" customHeight="1" spans="1:43">
      <c r="A41" s="71" t="s">
        <v>55</v>
      </c>
      <c r="B41" s="72">
        <f t="shared" si="70"/>
        <v>0</v>
      </c>
      <c r="C41" s="72">
        <f t="shared" si="71"/>
        <v>0</v>
      </c>
      <c r="D41" s="72">
        <f t="shared" si="72"/>
        <v>0</v>
      </c>
      <c r="E41" s="72">
        <f t="shared" si="73"/>
        <v>27</v>
      </c>
      <c r="F41" s="72">
        <f t="shared" si="74"/>
        <v>27</v>
      </c>
      <c r="G41" s="73">
        <f t="shared" si="75"/>
        <v>3</v>
      </c>
      <c r="H41" s="73">
        <f>ROUND($X$2/$U$6*U41,0)</f>
        <v>0</v>
      </c>
      <c r="I41" s="86">
        <f t="shared" si="76"/>
        <v>2</v>
      </c>
      <c r="J41" s="86">
        <f>ROUND($R$2*T41*U41/$U$6,0)</f>
        <v>2</v>
      </c>
      <c r="K41" s="86">
        <f t="shared" si="77"/>
        <v>1</v>
      </c>
      <c r="L41" s="86">
        <f>ROUND($Y$2*T41*U41/$U$6,0)</f>
        <v>1</v>
      </c>
      <c r="M41" s="86">
        <f t="shared" si="78"/>
        <v>349</v>
      </c>
      <c r="N41" s="87">
        <f t="shared" si="79"/>
        <v>3</v>
      </c>
      <c r="O41" s="87">
        <v>2</v>
      </c>
      <c r="P41" s="87">
        <v>1</v>
      </c>
      <c r="Q41" s="104">
        <v>322</v>
      </c>
      <c r="R41" s="104">
        <f t="shared" si="34"/>
        <v>323</v>
      </c>
      <c r="S41" s="105"/>
      <c r="T41" s="106">
        <f t="shared" si="80"/>
        <v>1.1</v>
      </c>
      <c r="U41" s="107">
        <f t="shared" si="81"/>
        <v>78</v>
      </c>
      <c r="V41" s="108">
        <v>0</v>
      </c>
      <c r="W41" s="108">
        <v>78</v>
      </c>
      <c r="X41" s="109">
        <f t="shared" si="82"/>
        <v>17126</v>
      </c>
      <c r="Y41" s="108">
        <v>5212</v>
      </c>
      <c r="Z41" s="108">
        <v>11914</v>
      </c>
      <c r="AA41" s="117">
        <v>9079</v>
      </c>
      <c r="AB41" s="108">
        <v>7322</v>
      </c>
      <c r="AC41" s="108">
        <v>309</v>
      </c>
      <c r="AD41" s="108"/>
      <c r="AE41" s="117">
        <v>16867</v>
      </c>
      <c r="AF41" s="108">
        <v>15254</v>
      </c>
      <c r="AG41" s="108"/>
      <c r="AH41" s="123">
        <f t="shared" si="83"/>
        <v>2</v>
      </c>
      <c r="AI41" s="124">
        <f t="shared" si="84"/>
        <v>1</v>
      </c>
      <c r="AJ41" s="124">
        <f t="shared" si="85"/>
        <v>1</v>
      </c>
      <c r="AK41" s="124">
        <f t="shared" si="86"/>
        <v>0</v>
      </c>
      <c r="AL41" s="125"/>
      <c r="AM41" s="125">
        <v>36</v>
      </c>
      <c r="AO41" s="51">
        <f t="shared" si="87"/>
        <v>1.1</v>
      </c>
      <c r="AP41" s="51" t="s">
        <v>55</v>
      </c>
      <c r="AQ41" s="51" t="b">
        <f t="shared" ref="AQ41:AQ72" si="88">AP41=A41</f>
        <v>1</v>
      </c>
    </row>
    <row r="42" ht="14.25" customHeight="1" spans="1:43">
      <c r="A42" s="71" t="s">
        <v>56</v>
      </c>
      <c r="B42" s="72">
        <f t="shared" si="70"/>
        <v>-1</v>
      </c>
      <c r="C42" s="72">
        <f t="shared" si="71"/>
        <v>1</v>
      </c>
      <c r="D42" s="72">
        <f t="shared" si="72"/>
        <v>-2</v>
      </c>
      <c r="E42" s="72">
        <f t="shared" si="73"/>
        <v>27</v>
      </c>
      <c r="F42" s="72">
        <f t="shared" si="74"/>
        <v>25</v>
      </c>
      <c r="G42" s="73">
        <f t="shared" si="75"/>
        <v>91</v>
      </c>
      <c r="H42" s="73">
        <f>ROUND($X$2/$U$6*U42,0)</f>
        <v>3</v>
      </c>
      <c r="I42" s="86">
        <f t="shared" si="76"/>
        <v>53</v>
      </c>
      <c r="J42" s="86">
        <f>ROUND($R$2*T42*U42/$U$6,0)</f>
        <v>54</v>
      </c>
      <c r="K42" s="86">
        <f t="shared" si="77"/>
        <v>35</v>
      </c>
      <c r="L42" s="86">
        <f>ROUND($Y$2*T42*U42/$U$6,0)</f>
        <v>36</v>
      </c>
      <c r="M42" s="86">
        <f t="shared" si="78"/>
        <v>365</v>
      </c>
      <c r="N42" s="87">
        <f t="shared" si="79"/>
        <v>92</v>
      </c>
      <c r="O42" s="87">
        <v>55</v>
      </c>
      <c r="P42" s="87">
        <v>37</v>
      </c>
      <c r="Q42" s="104">
        <v>338</v>
      </c>
      <c r="R42" s="104">
        <f t="shared" si="34"/>
        <v>375</v>
      </c>
      <c r="S42" s="105"/>
      <c r="T42" s="106">
        <f t="shared" si="80"/>
        <v>1.1</v>
      </c>
      <c r="U42" s="107">
        <f t="shared" si="81"/>
        <v>2557</v>
      </c>
      <c r="V42" s="108">
        <v>804</v>
      </c>
      <c r="W42" s="108">
        <v>1753</v>
      </c>
      <c r="X42" s="109">
        <f t="shared" si="82"/>
        <v>17920</v>
      </c>
      <c r="Y42" s="108">
        <v>6421</v>
      </c>
      <c r="Z42" s="108">
        <v>11499</v>
      </c>
      <c r="AA42" s="117">
        <v>7683</v>
      </c>
      <c r="AB42" s="108">
        <v>7652</v>
      </c>
      <c r="AC42" s="108">
        <v>709</v>
      </c>
      <c r="AD42" s="108"/>
      <c r="AE42" s="117">
        <v>12962</v>
      </c>
      <c r="AF42" s="108">
        <v>12948</v>
      </c>
      <c r="AG42" s="108">
        <v>45</v>
      </c>
      <c r="AH42" s="123">
        <f t="shared" si="83"/>
        <v>25</v>
      </c>
      <c r="AI42" s="124">
        <f t="shared" si="84"/>
        <v>15</v>
      </c>
      <c r="AJ42" s="124">
        <f t="shared" si="85"/>
        <v>6</v>
      </c>
      <c r="AK42" s="124">
        <f t="shared" si="86"/>
        <v>4</v>
      </c>
      <c r="AL42" s="127"/>
      <c r="AM42" s="127">
        <v>407</v>
      </c>
      <c r="AO42" s="51">
        <f t="shared" si="87"/>
        <v>1.1</v>
      </c>
      <c r="AP42" s="51" t="s">
        <v>56</v>
      </c>
      <c r="AQ42" s="51" t="b">
        <f t="shared" si="88"/>
        <v>1</v>
      </c>
    </row>
    <row r="43" ht="14.25" customHeight="1" spans="1:43">
      <c r="A43" s="75" t="s">
        <v>57</v>
      </c>
      <c r="B43" s="72">
        <f t="shared" si="70"/>
        <v>55</v>
      </c>
      <c r="C43" s="72">
        <f t="shared" si="71"/>
        <v>56</v>
      </c>
      <c r="D43" s="72">
        <f t="shared" si="72"/>
        <v>-1</v>
      </c>
      <c r="E43" s="72">
        <f t="shared" si="73"/>
        <v>0</v>
      </c>
      <c r="F43" s="72">
        <f t="shared" si="74"/>
        <v>-1</v>
      </c>
      <c r="G43" s="73">
        <f t="shared" si="75"/>
        <v>1483</v>
      </c>
      <c r="H43" s="73">
        <f>ROUND($X$2/$U$6*U43,0)</f>
        <v>49</v>
      </c>
      <c r="I43" s="86">
        <f t="shared" si="76"/>
        <v>860</v>
      </c>
      <c r="J43" s="86">
        <f>ROUND($R$2*T43*U43/$U$6,0)</f>
        <v>875</v>
      </c>
      <c r="K43" s="86">
        <f t="shared" si="77"/>
        <v>574</v>
      </c>
      <c r="L43" s="86">
        <f>ROUND($Y$2*T43*U43/$U$6,0)</f>
        <v>584</v>
      </c>
      <c r="M43" s="86">
        <f t="shared" si="78"/>
        <v>0</v>
      </c>
      <c r="N43" s="87">
        <f t="shared" si="79"/>
        <v>1428</v>
      </c>
      <c r="O43" s="87">
        <v>853</v>
      </c>
      <c r="P43" s="87">
        <v>575</v>
      </c>
      <c r="Q43" s="104">
        <v>0</v>
      </c>
      <c r="R43" s="104">
        <f t="shared" si="34"/>
        <v>575</v>
      </c>
      <c r="S43" s="100" t="s">
        <v>165</v>
      </c>
      <c r="T43" s="106">
        <f t="shared" si="80"/>
        <v>1</v>
      </c>
      <c r="U43" s="107">
        <f t="shared" si="81"/>
        <v>45757</v>
      </c>
      <c r="V43" s="108">
        <v>15195</v>
      </c>
      <c r="W43" s="108">
        <v>30562</v>
      </c>
      <c r="X43" s="109">
        <f t="shared" si="82"/>
        <v>0</v>
      </c>
      <c r="Y43" s="118">
        <v>0</v>
      </c>
      <c r="Z43" s="118">
        <v>0</v>
      </c>
      <c r="AA43" s="117">
        <v>12942</v>
      </c>
      <c r="AB43" s="108">
        <v>11607</v>
      </c>
      <c r="AC43" s="108">
        <v>3475</v>
      </c>
      <c r="AD43" s="108"/>
      <c r="AE43" s="117">
        <v>28554</v>
      </c>
      <c r="AF43" s="108">
        <v>27709</v>
      </c>
      <c r="AG43" s="108">
        <v>1465</v>
      </c>
      <c r="AH43" s="123">
        <f t="shared" si="83"/>
        <v>671</v>
      </c>
      <c r="AI43" s="124">
        <f t="shared" si="84"/>
        <v>403</v>
      </c>
      <c r="AJ43" s="124">
        <f t="shared" si="85"/>
        <v>161</v>
      </c>
      <c r="AK43" s="124">
        <f t="shared" si="86"/>
        <v>107</v>
      </c>
      <c r="AL43" s="127">
        <v>236</v>
      </c>
      <c r="AM43" s="127">
        <v>10875</v>
      </c>
      <c r="AO43" s="128">
        <f t="shared" si="87"/>
        <v>1</v>
      </c>
      <c r="AP43" s="51" t="s">
        <v>57</v>
      </c>
      <c r="AQ43" s="51" t="b">
        <f t="shared" si="88"/>
        <v>1</v>
      </c>
    </row>
    <row r="44" ht="14.25" customHeight="1" spans="1:43">
      <c r="A44" s="75" t="s">
        <v>58</v>
      </c>
      <c r="B44" s="72">
        <f t="shared" si="70"/>
        <v>47</v>
      </c>
      <c r="C44" s="72">
        <f t="shared" si="71"/>
        <v>42</v>
      </c>
      <c r="D44" s="72">
        <f t="shared" si="72"/>
        <v>5</v>
      </c>
      <c r="E44" s="72">
        <f t="shared" si="73"/>
        <v>0</v>
      </c>
      <c r="F44" s="72">
        <f t="shared" si="74"/>
        <v>5</v>
      </c>
      <c r="G44" s="73">
        <f t="shared" si="75"/>
        <v>941</v>
      </c>
      <c r="H44" s="73">
        <f>ROUND($X$2/$U$6*U44,0)</f>
        <v>28</v>
      </c>
      <c r="I44" s="86">
        <f t="shared" si="76"/>
        <v>548</v>
      </c>
      <c r="J44" s="86">
        <f>ROUND($R$2*T44*U44/$U$6,0)</f>
        <v>557</v>
      </c>
      <c r="K44" s="86">
        <f t="shared" si="77"/>
        <v>365</v>
      </c>
      <c r="L44" s="86">
        <f>ROUND($Y$2*T44*U44/$U$6,0)</f>
        <v>371</v>
      </c>
      <c r="M44" s="86">
        <f t="shared" si="78"/>
        <v>0</v>
      </c>
      <c r="N44" s="87">
        <f t="shared" si="79"/>
        <v>894</v>
      </c>
      <c r="O44" s="87">
        <v>534</v>
      </c>
      <c r="P44" s="87">
        <v>360</v>
      </c>
      <c r="Q44" s="104">
        <v>0</v>
      </c>
      <c r="R44" s="104">
        <f t="shared" si="34"/>
        <v>360</v>
      </c>
      <c r="S44" s="100" t="s">
        <v>165</v>
      </c>
      <c r="T44" s="106">
        <f t="shared" si="80"/>
        <v>1.1</v>
      </c>
      <c r="U44" s="107">
        <f t="shared" si="81"/>
        <v>26465</v>
      </c>
      <c r="V44" s="108">
        <v>10095</v>
      </c>
      <c r="W44" s="108">
        <v>16370</v>
      </c>
      <c r="X44" s="109">
        <f t="shared" si="82"/>
        <v>0</v>
      </c>
      <c r="Y44" s="118">
        <v>0</v>
      </c>
      <c r="Z44" s="118">
        <v>0</v>
      </c>
      <c r="AA44" s="117">
        <v>11524</v>
      </c>
      <c r="AB44" s="108">
        <v>11205</v>
      </c>
      <c r="AC44" s="108">
        <v>2884</v>
      </c>
      <c r="AD44" s="108"/>
      <c r="AE44" s="117">
        <v>20245</v>
      </c>
      <c r="AF44" s="108">
        <v>19398</v>
      </c>
      <c r="AG44" s="108">
        <v>167</v>
      </c>
      <c r="AH44" s="123">
        <f t="shared" si="83"/>
        <v>438</v>
      </c>
      <c r="AI44" s="124">
        <f t="shared" si="84"/>
        <v>263</v>
      </c>
      <c r="AJ44" s="124">
        <f t="shared" si="85"/>
        <v>105</v>
      </c>
      <c r="AK44" s="124">
        <f t="shared" si="86"/>
        <v>70</v>
      </c>
      <c r="AL44" s="127"/>
      <c r="AM44" s="127">
        <v>7308</v>
      </c>
      <c r="AO44" s="51">
        <f t="shared" si="87"/>
        <v>1.1</v>
      </c>
      <c r="AP44" s="51" t="s">
        <v>58</v>
      </c>
      <c r="AQ44" s="51" t="b">
        <f t="shared" si="88"/>
        <v>1</v>
      </c>
    </row>
    <row r="45" ht="14.25" customHeight="1" spans="1:43">
      <c r="A45" s="75" t="s">
        <v>59</v>
      </c>
      <c r="B45" s="72">
        <f t="shared" si="70"/>
        <v>154</v>
      </c>
      <c r="C45" s="72">
        <f t="shared" si="71"/>
        <v>107</v>
      </c>
      <c r="D45" s="72">
        <f t="shared" si="72"/>
        <v>47</v>
      </c>
      <c r="E45" s="72">
        <f t="shared" si="73"/>
        <v>0</v>
      </c>
      <c r="F45" s="72">
        <f t="shared" si="31"/>
        <v>47</v>
      </c>
      <c r="G45" s="73">
        <f t="shared" si="75"/>
        <v>1039</v>
      </c>
      <c r="H45" s="73">
        <f>ROUND($X$2/$U$6*U45,0)</f>
        <v>31</v>
      </c>
      <c r="I45" s="86">
        <f t="shared" si="76"/>
        <v>605</v>
      </c>
      <c r="J45" s="86">
        <f>ROUND($R$2*T45*U45/$U$6,0)</f>
        <v>615</v>
      </c>
      <c r="K45" s="86">
        <f t="shared" si="77"/>
        <v>403</v>
      </c>
      <c r="L45" s="86">
        <f>ROUND($Y$2*T45*U45/$U$6,0)</f>
        <v>410</v>
      </c>
      <c r="M45" s="86">
        <f t="shared" si="78"/>
        <v>0</v>
      </c>
      <c r="N45" s="87">
        <f t="shared" si="79"/>
        <v>885</v>
      </c>
      <c r="O45" s="87">
        <v>529</v>
      </c>
      <c r="P45" s="87">
        <v>356</v>
      </c>
      <c r="Q45" s="104">
        <v>0</v>
      </c>
      <c r="R45" s="104">
        <f t="shared" si="34"/>
        <v>356</v>
      </c>
      <c r="S45" s="105" t="s">
        <v>137</v>
      </c>
      <c r="T45" s="106">
        <f t="shared" si="80"/>
        <v>1.1</v>
      </c>
      <c r="U45" s="107">
        <f t="shared" si="81"/>
        <v>29202</v>
      </c>
      <c r="V45" s="108">
        <v>10286</v>
      </c>
      <c r="W45" s="108">
        <v>18916</v>
      </c>
      <c r="X45" s="109">
        <f t="shared" si="82"/>
        <v>0</v>
      </c>
      <c r="Y45" s="118">
        <v>0</v>
      </c>
      <c r="Z45" s="118">
        <v>0</v>
      </c>
      <c r="AA45" s="117">
        <v>10746</v>
      </c>
      <c r="AB45" s="108">
        <v>10746</v>
      </c>
      <c r="AC45" s="108">
        <v>2566</v>
      </c>
      <c r="AD45" s="108"/>
      <c r="AE45" s="117">
        <v>20407</v>
      </c>
      <c r="AF45" s="108">
        <v>20341</v>
      </c>
      <c r="AG45" s="108">
        <v>126</v>
      </c>
      <c r="AH45" s="123">
        <f t="shared" si="83"/>
        <v>376</v>
      </c>
      <c r="AI45" s="124">
        <f t="shared" si="84"/>
        <v>226</v>
      </c>
      <c r="AJ45" s="124">
        <f t="shared" si="85"/>
        <v>90</v>
      </c>
      <c r="AK45" s="124">
        <f t="shared" si="86"/>
        <v>60</v>
      </c>
      <c r="AL45" s="127">
        <v>90</v>
      </c>
      <c r="AM45" s="127">
        <v>6153</v>
      </c>
      <c r="AO45" s="51">
        <f t="shared" si="87"/>
        <v>1.1</v>
      </c>
      <c r="AP45" s="51" t="s">
        <v>59</v>
      </c>
      <c r="AQ45" s="51" t="b">
        <f t="shared" si="88"/>
        <v>1</v>
      </c>
    </row>
    <row r="46" ht="14.25" customHeight="1" spans="1:43">
      <c r="A46" s="76" t="s">
        <v>60</v>
      </c>
      <c r="B46" s="77">
        <f>SUM(B47:B50)</f>
        <v>23</v>
      </c>
      <c r="C46" s="77">
        <f t="shared" ref="C46:K46" si="89">SUM(C47:C50)</f>
        <v>16</v>
      </c>
      <c r="D46" s="77">
        <f t="shared" si="89"/>
        <v>7</v>
      </c>
      <c r="E46" s="77">
        <f t="shared" si="89"/>
        <v>42</v>
      </c>
      <c r="F46" s="77">
        <f t="shared" si="89"/>
        <v>49</v>
      </c>
      <c r="G46" s="78">
        <f t="shared" si="89"/>
        <v>178</v>
      </c>
      <c r="H46" s="78">
        <f t="shared" si="89"/>
        <v>6</v>
      </c>
      <c r="I46" s="78">
        <f t="shared" si="89"/>
        <v>103</v>
      </c>
      <c r="J46" s="78">
        <f t="shared" si="89"/>
        <v>104</v>
      </c>
      <c r="K46" s="78">
        <f t="shared" si="89"/>
        <v>69</v>
      </c>
      <c r="L46" s="78">
        <f t="shared" ref="L46:Q46" si="90">SUM(L47:L50)</f>
        <v>70</v>
      </c>
      <c r="M46" s="78">
        <f t="shared" si="90"/>
        <v>466</v>
      </c>
      <c r="N46" s="88">
        <f t="shared" si="90"/>
        <v>155</v>
      </c>
      <c r="O46" s="88">
        <v>93</v>
      </c>
      <c r="P46" s="88">
        <v>62</v>
      </c>
      <c r="Q46" s="88">
        <v>424</v>
      </c>
      <c r="R46" s="104">
        <f t="shared" si="34"/>
        <v>486</v>
      </c>
      <c r="S46" s="100" t="s">
        <v>165</v>
      </c>
      <c r="T46" s="106"/>
      <c r="U46" s="110">
        <f t="shared" ref="U46:AC46" si="91">SUM(U47:U50)</f>
        <v>4963</v>
      </c>
      <c r="V46" s="111">
        <f t="shared" si="91"/>
        <v>752</v>
      </c>
      <c r="W46" s="111">
        <f t="shared" si="91"/>
        <v>4211</v>
      </c>
      <c r="X46" s="110">
        <f t="shared" si="91"/>
        <v>22907</v>
      </c>
      <c r="Y46" s="111">
        <f t="shared" si="91"/>
        <v>7825</v>
      </c>
      <c r="Z46" s="111">
        <f t="shared" si="91"/>
        <v>15082</v>
      </c>
      <c r="AA46" s="110">
        <f t="shared" si="91"/>
        <v>9055</v>
      </c>
      <c r="AB46" s="110">
        <f t="shared" si="91"/>
        <v>8959</v>
      </c>
      <c r="AC46" s="110">
        <f t="shared" si="91"/>
        <v>78</v>
      </c>
      <c r="AD46" s="110"/>
      <c r="AE46" s="110">
        <f t="shared" ref="AE46:AM46" si="92">SUM(AE47:AE50)</f>
        <v>17137</v>
      </c>
      <c r="AF46" s="110">
        <f t="shared" si="92"/>
        <v>16792</v>
      </c>
      <c r="AG46" s="110">
        <f t="shared" si="92"/>
        <v>0</v>
      </c>
      <c r="AH46" s="110">
        <f t="shared" si="92"/>
        <v>31</v>
      </c>
      <c r="AI46" s="110">
        <f t="shared" si="92"/>
        <v>19</v>
      </c>
      <c r="AJ46" s="110">
        <f t="shared" si="92"/>
        <v>7</v>
      </c>
      <c r="AK46" s="110">
        <f t="shared" si="92"/>
        <v>5</v>
      </c>
      <c r="AL46" s="110">
        <f t="shared" si="92"/>
        <v>96</v>
      </c>
      <c r="AM46" s="110">
        <f t="shared" si="92"/>
        <v>387</v>
      </c>
      <c r="AP46" s="51" t="s">
        <v>60</v>
      </c>
      <c r="AQ46" s="51" t="b">
        <f t="shared" si="88"/>
        <v>1</v>
      </c>
    </row>
    <row r="47" ht="14.25" customHeight="1" spans="1:43">
      <c r="A47" s="71" t="s">
        <v>26</v>
      </c>
      <c r="B47" s="72">
        <f t="shared" ref="B47:B52" si="93">C47+D47</f>
        <v>-2</v>
      </c>
      <c r="C47" s="72">
        <f t="shared" ref="C47:C52" si="94">I47-O47+H47</f>
        <v>-1</v>
      </c>
      <c r="D47" s="72">
        <f t="shared" ref="D47:D52" si="95">K47-P47</f>
        <v>-1</v>
      </c>
      <c r="E47" s="72">
        <f t="shared" ref="E47:E52" si="96">M47-Q47</f>
        <v>1</v>
      </c>
      <c r="F47" s="72">
        <f t="shared" si="31"/>
        <v>0</v>
      </c>
      <c r="G47" s="73">
        <f t="shared" ref="G47:G52" si="97">I47+K47+H47</f>
        <v>28</v>
      </c>
      <c r="H47" s="73">
        <f>ROUND($X$2/$U$6*U47,0)</f>
        <v>1</v>
      </c>
      <c r="I47" s="86">
        <f t="shared" ref="I47:I52" si="98">ROUND(24000/24412*J47,0)</f>
        <v>16</v>
      </c>
      <c r="J47" s="86">
        <f>ROUND($R$2*T47*U47/$U$6,0)</f>
        <v>16</v>
      </c>
      <c r="K47" s="86">
        <f t="shared" ref="K47:K52" si="99">ROUND(16000/16274*L47,0)</f>
        <v>11</v>
      </c>
      <c r="L47" s="86">
        <f>ROUND($Y$2*T47*U47/$U$6,0)</f>
        <v>11</v>
      </c>
      <c r="M47" s="86">
        <f t="shared" ref="M47:M52" si="100">ROUND(8040*X47/$X$6,0)</f>
        <v>159</v>
      </c>
      <c r="N47" s="87">
        <f t="shared" ref="N47:N52" si="101">O47+P47</f>
        <v>30</v>
      </c>
      <c r="O47" s="87">
        <v>18</v>
      </c>
      <c r="P47" s="87">
        <v>12</v>
      </c>
      <c r="Q47" s="104">
        <v>158</v>
      </c>
      <c r="R47" s="104">
        <f t="shared" si="34"/>
        <v>170</v>
      </c>
      <c r="S47" s="105"/>
      <c r="T47" s="106">
        <f t="shared" ref="T47:T52" si="102">AO47</f>
        <v>1.1</v>
      </c>
      <c r="U47" s="107">
        <f t="shared" ref="U47:U52" si="103">V47+W47</f>
        <v>752</v>
      </c>
      <c r="V47" s="108">
        <v>752</v>
      </c>
      <c r="W47" s="108">
        <v>0</v>
      </c>
      <c r="X47" s="109">
        <f t="shared" ref="X47:X52" si="104">Y47+Z47</f>
        <v>7825</v>
      </c>
      <c r="Y47" s="108">
        <v>7825</v>
      </c>
      <c r="Z47" s="118">
        <v>0</v>
      </c>
      <c r="AA47" s="117">
        <v>8959</v>
      </c>
      <c r="AB47" s="108">
        <v>8959</v>
      </c>
      <c r="AC47" s="108">
        <v>78</v>
      </c>
      <c r="AD47" s="108"/>
      <c r="AE47" s="117">
        <v>0</v>
      </c>
      <c r="AF47" s="108">
        <v>0</v>
      </c>
      <c r="AG47" s="108"/>
      <c r="AH47" s="123">
        <f t="shared" ref="AH47:AH52" si="105">AI47+AJ47+AK47</f>
        <v>8</v>
      </c>
      <c r="AI47" s="124">
        <f t="shared" ref="AI47:AI52" si="106">ROUND((AL47*800+AM47*600)*0.6/10000,0)</f>
        <v>5</v>
      </c>
      <c r="AJ47" s="124">
        <f t="shared" ref="AJ47:AJ52" si="107">ROUND((AL47*800+AM47*600)*0.24/10000,0)</f>
        <v>2</v>
      </c>
      <c r="AK47" s="124">
        <f t="shared" ref="AK47:AK52" si="108">ROUND((AL47*800+AM47*600)*0.16/10000,0)</f>
        <v>1</v>
      </c>
      <c r="AL47" s="125">
        <v>96</v>
      </c>
      <c r="AM47" s="125"/>
      <c r="AO47" s="51">
        <f t="shared" ref="AO47:AO52" si="109">IF(U47&gt;=30000,IF(U47&gt;50000,IF(U47&gt;70000,0.8,0.9),1),1.1)</f>
        <v>1.1</v>
      </c>
      <c r="AP47" s="51" t="s">
        <v>26</v>
      </c>
      <c r="AQ47" s="51" t="b">
        <f t="shared" si="88"/>
        <v>1</v>
      </c>
    </row>
    <row r="48" ht="14.25" customHeight="1" spans="1:43">
      <c r="A48" s="71" t="s">
        <v>61</v>
      </c>
      <c r="B48" s="72">
        <f t="shared" si="93"/>
        <v>23</v>
      </c>
      <c r="C48" s="72">
        <f t="shared" si="94"/>
        <v>16</v>
      </c>
      <c r="D48" s="72">
        <f t="shared" si="95"/>
        <v>7</v>
      </c>
      <c r="E48" s="72">
        <f t="shared" si="96"/>
        <v>35</v>
      </c>
      <c r="F48" s="72">
        <f t="shared" si="31"/>
        <v>42</v>
      </c>
      <c r="G48" s="73">
        <f t="shared" si="97"/>
        <v>130</v>
      </c>
      <c r="H48" s="73">
        <f>ROUND($X$2/$U$6*U48,0)</f>
        <v>4</v>
      </c>
      <c r="I48" s="86">
        <f t="shared" si="98"/>
        <v>76</v>
      </c>
      <c r="J48" s="86">
        <f>ROUND($R$2*T48*U48/$U$6,0)</f>
        <v>77</v>
      </c>
      <c r="K48" s="86">
        <f t="shared" si="99"/>
        <v>50</v>
      </c>
      <c r="L48" s="86">
        <f>ROUND($Y$2*T48*U48/$U$6,0)</f>
        <v>51</v>
      </c>
      <c r="M48" s="86">
        <f t="shared" si="100"/>
        <v>245</v>
      </c>
      <c r="N48" s="87">
        <f t="shared" si="101"/>
        <v>107</v>
      </c>
      <c r="O48" s="87">
        <v>64</v>
      </c>
      <c r="P48" s="87">
        <v>43</v>
      </c>
      <c r="Q48" s="104">
        <v>210</v>
      </c>
      <c r="R48" s="104">
        <f t="shared" si="34"/>
        <v>253</v>
      </c>
      <c r="S48" s="105"/>
      <c r="T48" s="106">
        <f t="shared" si="102"/>
        <v>1.1</v>
      </c>
      <c r="U48" s="107">
        <f t="shared" si="103"/>
        <v>3665</v>
      </c>
      <c r="V48" s="108">
        <v>0</v>
      </c>
      <c r="W48" s="108">
        <v>3665</v>
      </c>
      <c r="X48" s="109">
        <f t="shared" si="104"/>
        <v>12021</v>
      </c>
      <c r="Y48" s="118">
        <v>0</v>
      </c>
      <c r="Z48" s="108">
        <v>12021</v>
      </c>
      <c r="AA48" s="117">
        <v>96</v>
      </c>
      <c r="AB48" s="108">
        <v>0</v>
      </c>
      <c r="AC48" s="108"/>
      <c r="AD48" s="108"/>
      <c r="AE48" s="117">
        <v>13595</v>
      </c>
      <c r="AF48" s="108">
        <v>13250</v>
      </c>
      <c r="AG48" s="108"/>
      <c r="AH48" s="123">
        <f t="shared" si="105"/>
        <v>17</v>
      </c>
      <c r="AI48" s="124">
        <f t="shared" si="106"/>
        <v>10</v>
      </c>
      <c r="AJ48" s="124">
        <f t="shared" si="107"/>
        <v>4</v>
      </c>
      <c r="AK48" s="124">
        <f t="shared" si="108"/>
        <v>3</v>
      </c>
      <c r="AL48" s="125"/>
      <c r="AM48" s="125">
        <v>279</v>
      </c>
      <c r="AO48" s="51">
        <f t="shared" si="109"/>
        <v>1.1</v>
      </c>
      <c r="AP48" s="51" t="s">
        <v>61</v>
      </c>
      <c r="AQ48" s="51" t="b">
        <f t="shared" si="88"/>
        <v>1</v>
      </c>
    </row>
    <row r="49" ht="14.25" customHeight="1" spans="1:43">
      <c r="A49" s="71" t="s">
        <v>62</v>
      </c>
      <c r="B49" s="72">
        <f t="shared" si="93"/>
        <v>4</v>
      </c>
      <c r="C49" s="72">
        <f t="shared" si="94"/>
        <v>2</v>
      </c>
      <c r="D49" s="72">
        <f t="shared" si="95"/>
        <v>2</v>
      </c>
      <c r="E49" s="72">
        <f t="shared" si="96"/>
        <v>6</v>
      </c>
      <c r="F49" s="72">
        <f t="shared" si="31"/>
        <v>8</v>
      </c>
      <c r="G49" s="73">
        <f t="shared" si="97"/>
        <v>20</v>
      </c>
      <c r="H49" s="73">
        <f>ROUND($X$2/$U$6*U49,0)</f>
        <v>1</v>
      </c>
      <c r="I49" s="86">
        <f t="shared" si="98"/>
        <v>11</v>
      </c>
      <c r="J49" s="86">
        <f>ROUND($R$2*T49*U49/$U$6,0)</f>
        <v>11</v>
      </c>
      <c r="K49" s="86">
        <f t="shared" si="99"/>
        <v>8</v>
      </c>
      <c r="L49" s="86">
        <f>ROUND($Y$2*T49*U49/$U$6,0)</f>
        <v>8</v>
      </c>
      <c r="M49" s="86">
        <f t="shared" si="100"/>
        <v>62</v>
      </c>
      <c r="N49" s="87">
        <f t="shared" si="101"/>
        <v>16</v>
      </c>
      <c r="O49" s="87">
        <v>10</v>
      </c>
      <c r="P49" s="87">
        <v>6</v>
      </c>
      <c r="Q49" s="104">
        <v>56</v>
      </c>
      <c r="R49" s="104">
        <f t="shared" si="34"/>
        <v>62</v>
      </c>
      <c r="S49" s="105"/>
      <c r="T49" s="106">
        <f t="shared" si="102"/>
        <v>1.1</v>
      </c>
      <c r="U49" s="107">
        <f t="shared" si="103"/>
        <v>546</v>
      </c>
      <c r="V49" s="108">
        <v>0</v>
      </c>
      <c r="W49" s="108">
        <v>546</v>
      </c>
      <c r="X49" s="109">
        <f t="shared" si="104"/>
        <v>3061</v>
      </c>
      <c r="Y49" s="118">
        <v>0</v>
      </c>
      <c r="Z49" s="108">
        <v>3061</v>
      </c>
      <c r="AA49" s="117">
        <v>0</v>
      </c>
      <c r="AB49" s="108">
        <v>0</v>
      </c>
      <c r="AC49" s="108"/>
      <c r="AD49" s="108"/>
      <c r="AE49" s="117">
        <v>3468</v>
      </c>
      <c r="AF49" s="108">
        <v>3468</v>
      </c>
      <c r="AG49" s="108"/>
      <c r="AH49" s="123">
        <f t="shared" si="105"/>
        <v>5</v>
      </c>
      <c r="AI49" s="124">
        <f t="shared" si="106"/>
        <v>3</v>
      </c>
      <c r="AJ49" s="124">
        <f t="shared" si="107"/>
        <v>1</v>
      </c>
      <c r="AK49" s="124">
        <f t="shared" si="108"/>
        <v>1</v>
      </c>
      <c r="AL49" s="125"/>
      <c r="AM49" s="125">
        <v>82</v>
      </c>
      <c r="AO49" s="51">
        <f t="shared" si="109"/>
        <v>1.1</v>
      </c>
      <c r="AP49" s="51" t="s">
        <v>62</v>
      </c>
      <c r="AQ49" s="51" t="b">
        <f t="shared" si="88"/>
        <v>1</v>
      </c>
    </row>
    <row r="50" ht="14.25" customHeight="1" spans="1:43">
      <c r="A50" s="71" t="s">
        <v>63</v>
      </c>
      <c r="B50" s="72">
        <f t="shared" si="93"/>
        <v>-2</v>
      </c>
      <c r="C50" s="72">
        <f t="shared" si="94"/>
        <v>-1</v>
      </c>
      <c r="D50" s="72">
        <f t="shared" si="95"/>
        <v>-1</v>
      </c>
      <c r="E50" s="72">
        <f t="shared" si="96"/>
        <v>0</v>
      </c>
      <c r="F50" s="72">
        <f t="shared" si="31"/>
        <v>-1</v>
      </c>
      <c r="G50" s="73">
        <f t="shared" si="97"/>
        <v>0</v>
      </c>
      <c r="H50" s="73">
        <f>ROUND($X$2/$U$6*U50,0)</f>
        <v>0</v>
      </c>
      <c r="I50" s="86">
        <f t="shared" si="98"/>
        <v>0</v>
      </c>
      <c r="J50" s="86">
        <f>ROUND($R$2*T50*U50/$U$6,0)</f>
        <v>0</v>
      </c>
      <c r="K50" s="86">
        <f t="shared" si="99"/>
        <v>0</v>
      </c>
      <c r="L50" s="86">
        <f>ROUND($Y$2*T50*U50/$U$6,0)</f>
        <v>0</v>
      </c>
      <c r="M50" s="86">
        <f t="shared" si="100"/>
        <v>0</v>
      </c>
      <c r="N50" s="87">
        <f t="shared" si="101"/>
        <v>2</v>
      </c>
      <c r="O50" s="87">
        <v>1</v>
      </c>
      <c r="P50" s="87">
        <v>1</v>
      </c>
      <c r="Q50" s="104">
        <v>0</v>
      </c>
      <c r="R50" s="104">
        <f t="shared" si="34"/>
        <v>1</v>
      </c>
      <c r="S50" s="105"/>
      <c r="T50" s="106">
        <f t="shared" si="102"/>
        <v>1.1</v>
      </c>
      <c r="U50" s="107">
        <f t="shared" si="103"/>
        <v>0</v>
      </c>
      <c r="V50" s="108">
        <v>0</v>
      </c>
      <c r="W50" s="108">
        <v>0</v>
      </c>
      <c r="X50" s="109">
        <f t="shared" si="104"/>
        <v>0</v>
      </c>
      <c r="Y50" s="118">
        <v>0</v>
      </c>
      <c r="Z50" s="118">
        <v>0</v>
      </c>
      <c r="AA50" s="117">
        <v>0</v>
      </c>
      <c r="AB50" s="108">
        <v>0</v>
      </c>
      <c r="AC50" s="108"/>
      <c r="AD50" s="108"/>
      <c r="AE50" s="117">
        <v>74</v>
      </c>
      <c r="AF50" s="108">
        <v>74</v>
      </c>
      <c r="AG50" s="108"/>
      <c r="AH50" s="123">
        <f t="shared" si="105"/>
        <v>1</v>
      </c>
      <c r="AI50" s="124">
        <f t="shared" si="106"/>
        <v>1</v>
      </c>
      <c r="AJ50" s="124">
        <f t="shared" si="107"/>
        <v>0</v>
      </c>
      <c r="AK50" s="124">
        <f t="shared" si="108"/>
        <v>0</v>
      </c>
      <c r="AL50" s="125"/>
      <c r="AM50" s="125">
        <v>26</v>
      </c>
      <c r="AO50" s="51">
        <f t="shared" si="109"/>
        <v>1.1</v>
      </c>
      <c r="AP50" s="51" t="s">
        <v>63</v>
      </c>
      <c r="AQ50" s="51" t="b">
        <f t="shared" si="88"/>
        <v>1</v>
      </c>
    </row>
    <row r="51" ht="14.25" customHeight="1" spans="1:43">
      <c r="A51" s="75" t="s">
        <v>64</v>
      </c>
      <c r="B51" s="72">
        <f t="shared" si="93"/>
        <v>55</v>
      </c>
      <c r="C51" s="72">
        <f t="shared" si="94"/>
        <v>45</v>
      </c>
      <c r="D51" s="72">
        <f t="shared" si="95"/>
        <v>10</v>
      </c>
      <c r="E51" s="72">
        <f t="shared" si="96"/>
        <v>0</v>
      </c>
      <c r="F51" s="72">
        <f t="shared" si="31"/>
        <v>10</v>
      </c>
      <c r="G51" s="73">
        <f t="shared" si="97"/>
        <v>860</v>
      </c>
      <c r="H51" s="73">
        <f>ROUND($X$2/$U$6*U51,0)</f>
        <v>26</v>
      </c>
      <c r="I51" s="86">
        <f t="shared" si="98"/>
        <v>500</v>
      </c>
      <c r="J51" s="86">
        <f>ROUND($R$2*T51*U51/$U$6,0)</f>
        <v>509</v>
      </c>
      <c r="K51" s="86">
        <f t="shared" si="99"/>
        <v>334</v>
      </c>
      <c r="L51" s="86">
        <f>ROUND($Y$2*T51*U51/$U$6,0)</f>
        <v>340</v>
      </c>
      <c r="M51" s="86">
        <f t="shared" si="100"/>
        <v>0</v>
      </c>
      <c r="N51" s="87">
        <f t="shared" si="101"/>
        <v>805</v>
      </c>
      <c r="O51" s="87">
        <v>481</v>
      </c>
      <c r="P51" s="87">
        <v>324</v>
      </c>
      <c r="Q51" s="104">
        <v>0</v>
      </c>
      <c r="R51" s="104">
        <f t="shared" si="34"/>
        <v>324</v>
      </c>
      <c r="S51" s="100" t="s">
        <v>165</v>
      </c>
      <c r="T51" s="106">
        <f t="shared" si="102"/>
        <v>1.1</v>
      </c>
      <c r="U51" s="107">
        <f t="shared" si="103"/>
        <v>24201</v>
      </c>
      <c r="V51" s="108">
        <v>8746</v>
      </c>
      <c r="W51" s="108">
        <v>15455</v>
      </c>
      <c r="X51" s="109">
        <f t="shared" si="104"/>
        <v>0</v>
      </c>
      <c r="Y51" s="118">
        <v>0</v>
      </c>
      <c r="Z51" s="118">
        <v>0</v>
      </c>
      <c r="AA51" s="117">
        <v>10472</v>
      </c>
      <c r="AB51" s="108">
        <v>10472</v>
      </c>
      <c r="AC51" s="108"/>
      <c r="AD51" s="108"/>
      <c r="AE51" s="117">
        <v>16540</v>
      </c>
      <c r="AF51" s="108">
        <v>16540</v>
      </c>
      <c r="AG51" s="108"/>
      <c r="AH51" s="123">
        <f t="shared" si="105"/>
        <v>399</v>
      </c>
      <c r="AI51" s="124">
        <f t="shared" si="106"/>
        <v>239</v>
      </c>
      <c r="AJ51" s="124">
        <f t="shared" si="107"/>
        <v>96</v>
      </c>
      <c r="AK51" s="124">
        <f t="shared" si="108"/>
        <v>64</v>
      </c>
      <c r="AL51" s="125"/>
      <c r="AM51" s="125">
        <v>6634</v>
      </c>
      <c r="AO51" s="51">
        <f t="shared" si="109"/>
        <v>1.1</v>
      </c>
      <c r="AP51" s="51" t="s">
        <v>64</v>
      </c>
      <c r="AQ51" s="51" t="b">
        <f t="shared" si="88"/>
        <v>1</v>
      </c>
    </row>
    <row r="52" ht="14.25" customHeight="1" spans="1:43">
      <c r="A52" s="75" t="s">
        <v>65</v>
      </c>
      <c r="B52" s="72">
        <f t="shared" si="93"/>
        <v>19</v>
      </c>
      <c r="C52" s="72">
        <f t="shared" si="94"/>
        <v>20</v>
      </c>
      <c r="D52" s="72">
        <f t="shared" si="95"/>
        <v>-1</v>
      </c>
      <c r="E52" s="72">
        <f t="shared" si="96"/>
        <v>0</v>
      </c>
      <c r="F52" s="72">
        <f t="shared" si="31"/>
        <v>-1</v>
      </c>
      <c r="G52" s="73">
        <f t="shared" si="97"/>
        <v>591</v>
      </c>
      <c r="H52" s="73">
        <f>ROUND($X$2/$U$6*U52,0)</f>
        <v>18</v>
      </c>
      <c r="I52" s="86">
        <f t="shared" si="98"/>
        <v>344</v>
      </c>
      <c r="J52" s="86">
        <f>ROUND($R$2*T52*U52/$U$6,0)</f>
        <v>350</v>
      </c>
      <c r="K52" s="86">
        <f t="shared" si="99"/>
        <v>229</v>
      </c>
      <c r="L52" s="86">
        <f>ROUND($Y$2*T52*U52/$U$6,0)</f>
        <v>233</v>
      </c>
      <c r="M52" s="86">
        <f t="shared" si="100"/>
        <v>0</v>
      </c>
      <c r="N52" s="87">
        <f t="shared" si="101"/>
        <v>572</v>
      </c>
      <c r="O52" s="87">
        <v>342</v>
      </c>
      <c r="P52" s="87">
        <v>230</v>
      </c>
      <c r="Q52" s="104">
        <v>0</v>
      </c>
      <c r="R52" s="104">
        <f t="shared" si="34"/>
        <v>230</v>
      </c>
      <c r="S52" s="100" t="s">
        <v>165</v>
      </c>
      <c r="T52" s="106">
        <f t="shared" si="102"/>
        <v>1.1</v>
      </c>
      <c r="U52" s="107">
        <f t="shared" si="103"/>
        <v>16614</v>
      </c>
      <c r="V52" s="108">
        <v>6456</v>
      </c>
      <c r="W52" s="108">
        <v>10158</v>
      </c>
      <c r="X52" s="109">
        <f t="shared" si="104"/>
        <v>0</v>
      </c>
      <c r="Y52" s="118">
        <v>0</v>
      </c>
      <c r="Z52" s="118">
        <v>0</v>
      </c>
      <c r="AA52" s="117">
        <v>7822</v>
      </c>
      <c r="AB52" s="108">
        <v>7822</v>
      </c>
      <c r="AC52" s="108">
        <v>877</v>
      </c>
      <c r="AD52" s="108"/>
      <c r="AE52" s="117">
        <v>12479</v>
      </c>
      <c r="AF52" s="108">
        <v>12290</v>
      </c>
      <c r="AG52" s="108"/>
      <c r="AH52" s="123">
        <f t="shared" si="105"/>
        <v>245</v>
      </c>
      <c r="AI52" s="124">
        <f t="shared" si="106"/>
        <v>147</v>
      </c>
      <c r="AJ52" s="124">
        <f t="shared" si="107"/>
        <v>59</v>
      </c>
      <c r="AK52" s="124">
        <f t="shared" si="108"/>
        <v>39</v>
      </c>
      <c r="AL52" s="125"/>
      <c r="AM52" s="125">
        <v>4092</v>
      </c>
      <c r="AO52" s="51">
        <f t="shared" si="109"/>
        <v>1.1</v>
      </c>
      <c r="AP52" s="51" t="s">
        <v>65</v>
      </c>
      <c r="AQ52" s="51" t="b">
        <f t="shared" si="88"/>
        <v>1</v>
      </c>
    </row>
    <row r="53" ht="14.25" customHeight="1" spans="1:43">
      <c r="A53" s="76" t="s">
        <v>66</v>
      </c>
      <c r="B53" s="77">
        <f>SUM(B54:B56)</f>
        <v>27</v>
      </c>
      <c r="C53" s="77">
        <f t="shared" ref="C53:K53" si="110">SUM(C54:C56)</f>
        <v>18</v>
      </c>
      <c r="D53" s="77">
        <f t="shared" si="110"/>
        <v>9</v>
      </c>
      <c r="E53" s="77">
        <f t="shared" si="110"/>
        <v>36</v>
      </c>
      <c r="F53" s="77">
        <f t="shared" si="110"/>
        <v>45</v>
      </c>
      <c r="G53" s="78">
        <f t="shared" si="110"/>
        <v>155</v>
      </c>
      <c r="H53" s="78">
        <f t="shared" si="110"/>
        <v>4</v>
      </c>
      <c r="I53" s="78">
        <f t="shared" si="110"/>
        <v>90</v>
      </c>
      <c r="J53" s="78">
        <f t="shared" si="110"/>
        <v>91</v>
      </c>
      <c r="K53" s="78">
        <f t="shared" si="110"/>
        <v>61</v>
      </c>
      <c r="L53" s="78">
        <f t="shared" ref="L53:Q53" si="111">SUM(L54:L56)</f>
        <v>62</v>
      </c>
      <c r="M53" s="78">
        <f t="shared" si="111"/>
        <v>447</v>
      </c>
      <c r="N53" s="88">
        <f t="shared" si="111"/>
        <v>128</v>
      </c>
      <c r="O53" s="88">
        <v>76</v>
      </c>
      <c r="P53" s="88">
        <v>52</v>
      </c>
      <c r="Q53" s="88">
        <v>411</v>
      </c>
      <c r="R53" s="104">
        <f t="shared" si="34"/>
        <v>463</v>
      </c>
      <c r="S53" s="100" t="s">
        <v>165</v>
      </c>
      <c r="T53" s="106"/>
      <c r="U53" s="110">
        <f t="shared" ref="U53:AC53" si="112">SUM(U54:U56)</f>
        <v>4330</v>
      </c>
      <c r="V53" s="111">
        <f t="shared" si="112"/>
        <v>696</v>
      </c>
      <c r="W53" s="111">
        <f t="shared" si="112"/>
        <v>3634</v>
      </c>
      <c r="X53" s="110">
        <f t="shared" si="112"/>
        <v>21990</v>
      </c>
      <c r="Y53" s="111">
        <f t="shared" si="112"/>
        <v>7848</v>
      </c>
      <c r="Z53" s="111">
        <f t="shared" si="112"/>
        <v>14142</v>
      </c>
      <c r="AA53" s="110">
        <f t="shared" si="112"/>
        <v>8338</v>
      </c>
      <c r="AB53" s="110">
        <f t="shared" si="112"/>
        <v>8338</v>
      </c>
      <c r="AC53" s="110">
        <f t="shared" si="112"/>
        <v>0</v>
      </c>
      <c r="AD53" s="110"/>
      <c r="AE53" s="110">
        <f t="shared" ref="AE53:AM53" si="113">SUM(AE54:AE56)</f>
        <v>16491</v>
      </c>
      <c r="AF53" s="110">
        <f t="shared" si="113"/>
        <v>16491</v>
      </c>
      <c r="AG53" s="110">
        <f t="shared" si="113"/>
        <v>0</v>
      </c>
      <c r="AH53" s="110">
        <f t="shared" si="113"/>
        <v>23</v>
      </c>
      <c r="AI53" s="110">
        <f t="shared" si="113"/>
        <v>14</v>
      </c>
      <c r="AJ53" s="110">
        <f t="shared" si="113"/>
        <v>5</v>
      </c>
      <c r="AK53" s="110">
        <f t="shared" si="113"/>
        <v>4</v>
      </c>
      <c r="AL53" s="110">
        <f t="shared" si="113"/>
        <v>0</v>
      </c>
      <c r="AM53" s="110">
        <f t="shared" si="113"/>
        <v>379</v>
      </c>
      <c r="AP53" s="51" t="s">
        <v>66</v>
      </c>
      <c r="AQ53" s="51" t="b">
        <f t="shared" si="88"/>
        <v>1</v>
      </c>
    </row>
    <row r="54" ht="14.25" customHeight="1" spans="1:43">
      <c r="A54" s="71" t="s">
        <v>26</v>
      </c>
      <c r="B54" s="72">
        <f t="shared" ref="B54:B61" si="114">C54+D54</f>
        <v>5</v>
      </c>
      <c r="C54" s="72">
        <f t="shared" ref="C54:C61" si="115">I54-O54+H54</f>
        <v>3</v>
      </c>
      <c r="D54" s="72">
        <f t="shared" ref="D54:D61" si="116">K54-P54</f>
        <v>2</v>
      </c>
      <c r="E54" s="72">
        <f t="shared" ref="E54:E61" si="117">M54-Q54</f>
        <v>8</v>
      </c>
      <c r="F54" s="72">
        <f t="shared" si="31"/>
        <v>10</v>
      </c>
      <c r="G54" s="73">
        <f t="shared" ref="G54:G61" si="118">I54+K54+H54</f>
        <v>12</v>
      </c>
      <c r="H54" s="73">
        <f>ROUND($X$2/$U$6*U54,0)</f>
        <v>0</v>
      </c>
      <c r="I54" s="86">
        <f t="shared" ref="I54:I61" si="119">ROUND(24000/24412*J54,0)</f>
        <v>7</v>
      </c>
      <c r="J54" s="86">
        <f>ROUND($R$2*T54*U54/$U$6,0)</f>
        <v>7</v>
      </c>
      <c r="K54" s="86">
        <f t="shared" ref="K54:K61" si="120">ROUND(16000/16274*L54,0)</f>
        <v>5</v>
      </c>
      <c r="L54" s="86">
        <f>ROUND($Y$2*T54*U54/$U$6,0)</f>
        <v>5</v>
      </c>
      <c r="M54" s="86">
        <f t="shared" ref="M54:M61" si="121">ROUND(8040*X54/$X$6,0)</f>
        <v>214</v>
      </c>
      <c r="N54" s="87">
        <f t="shared" ref="N54:N61" si="122">O54+P54</f>
        <v>7</v>
      </c>
      <c r="O54" s="87">
        <v>4</v>
      </c>
      <c r="P54" s="87">
        <v>3</v>
      </c>
      <c r="Q54" s="104">
        <v>206</v>
      </c>
      <c r="R54" s="104">
        <f t="shared" si="34"/>
        <v>209</v>
      </c>
      <c r="S54" s="105"/>
      <c r="T54" s="106">
        <f t="shared" ref="T54:T61" si="123">AO54</f>
        <v>1.1</v>
      </c>
      <c r="U54" s="107">
        <f t="shared" ref="U54:U61" si="124">V54+W54</f>
        <v>335</v>
      </c>
      <c r="V54" s="108">
        <v>335</v>
      </c>
      <c r="W54" s="108">
        <v>0</v>
      </c>
      <c r="X54" s="109">
        <f t="shared" ref="X54:X61" si="125">Y54+Z54</f>
        <v>10532</v>
      </c>
      <c r="Y54" s="108">
        <v>7848</v>
      </c>
      <c r="Z54" s="108">
        <v>2684</v>
      </c>
      <c r="AA54" s="117">
        <v>7836</v>
      </c>
      <c r="AB54" s="108">
        <v>7836</v>
      </c>
      <c r="AC54" s="108"/>
      <c r="AD54" s="108"/>
      <c r="AE54" s="117">
        <v>2869</v>
      </c>
      <c r="AF54" s="108">
        <v>2869</v>
      </c>
      <c r="AG54" s="108"/>
      <c r="AH54" s="123">
        <f t="shared" ref="AH54:AH61" si="126">AI54+AJ54+AK54</f>
        <v>0</v>
      </c>
      <c r="AI54" s="124">
        <f t="shared" ref="AI54:AI61" si="127">ROUND((AL54*800+AM54*600)*0.6/10000,0)</f>
        <v>0</v>
      </c>
      <c r="AJ54" s="124">
        <f t="shared" ref="AJ54:AJ61" si="128">ROUND((AL54*800+AM54*600)*0.24/10000,0)</f>
        <v>0</v>
      </c>
      <c r="AK54" s="124">
        <f t="shared" ref="AK54:AK61" si="129">ROUND((AL54*800+AM54*600)*0.16/10000,0)</f>
        <v>0</v>
      </c>
      <c r="AL54" s="125"/>
      <c r="AM54" s="125"/>
      <c r="AO54" s="51">
        <f t="shared" ref="AO54:AO69" si="130">IF(U54&gt;=30000,IF(U54&gt;50000,IF(U54&gt;70000,0.8,0.9),1),1.1)</f>
        <v>1.1</v>
      </c>
      <c r="AP54" s="51" t="s">
        <v>26</v>
      </c>
      <c r="AQ54" s="51" t="b">
        <f t="shared" si="88"/>
        <v>1</v>
      </c>
    </row>
    <row r="55" ht="14.25" customHeight="1" spans="1:43">
      <c r="A55" s="71" t="s">
        <v>67</v>
      </c>
      <c r="B55" s="72">
        <f t="shared" si="114"/>
        <v>21</v>
      </c>
      <c r="C55" s="72">
        <f t="shared" si="115"/>
        <v>14</v>
      </c>
      <c r="D55" s="72">
        <f t="shared" si="116"/>
        <v>7</v>
      </c>
      <c r="E55" s="72">
        <f t="shared" si="117"/>
        <v>29</v>
      </c>
      <c r="F55" s="72">
        <f t="shared" si="31"/>
        <v>36</v>
      </c>
      <c r="G55" s="73">
        <f t="shared" si="118"/>
        <v>108</v>
      </c>
      <c r="H55" s="73">
        <f>ROUND($X$2/$U$6*U55,0)</f>
        <v>3</v>
      </c>
      <c r="I55" s="86">
        <f t="shared" si="119"/>
        <v>63</v>
      </c>
      <c r="J55" s="86">
        <f>ROUND($R$2*T55*U55/$U$6,0)</f>
        <v>64</v>
      </c>
      <c r="K55" s="86">
        <f t="shared" si="120"/>
        <v>42</v>
      </c>
      <c r="L55" s="86">
        <f>ROUND($Y$2*T55*U55/$U$6,0)</f>
        <v>43</v>
      </c>
      <c r="M55" s="86">
        <f t="shared" si="121"/>
        <v>232</v>
      </c>
      <c r="N55" s="87">
        <f t="shared" si="122"/>
        <v>87</v>
      </c>
      <c r="O55" s="87">
        <v>52</v>
      </c>
      <c r="P55" s="87">
        <v>35</v>
      </c>
      <c r="Q55" s="104">
        <v>203</v>
      </c>
      <c r="R55" s="104">
        <f t="shared" si="34"/>
        <v>238</v>
      </c>
      <c r="S55" s="105"/>
      <c r="T55" s="106">
        <f t="shared" si="123"/>
        <v>1.1</v>
      </c>
      <c r="U55" s="107">
        <f t="shared" si="124"/>
        <v>3030</v>
      </c>
      <c r="V55" s="108">
        <v>0</v>
      </c>
      <c r="W55" s="108">
        <v>3030</v>
      </c>
      <c r="X55" s="109">
        <f t="shared" si="125"/>
        <v>11391</v>
      </c>
      <c r="Y55" s="118">
        <v>0</v>
      </c>
      <c r="Z55" s="108">
        <v>11391</v>
      </c>
      <c r="AA55" s="117">
        <v>0</v>
      </c>
      <c r="AB55" s="108">
        <v>0</v>
      </c>
      <c r="AC55" s="108"/>
      <c r="AD55" s="108"/>
      <c r="AE55" s="117">
        <v>12642</v>
      </c>
      <c r="AF55" s="108">
        <v>12642</v>
      </c>
      <c r="AG55" s="108"/>
      <c r="AH55" s="123">
        <f t="shared" si="126"/>
        <v>18</v>
      </c>
      <c r="AI55" s="124">
        <f t="shared" si="127"/>
        <v>11</v>
      </c>
      <c r="AJ55" s="124">
        <f t="shared" si="128"/>
        <v>4</v>
      </c>
      <c r="AK55" s="124">
        <f t="shared" si="129"/>
        <v>3</v>
      </c>
      <c r="AL55" s="125"/>
      <c r="AM55" s="125">
        <v>292</v>
      </c>
      <c r="AO55" s="51">
        <f t="shared" si="130"/>
        <v>1.1</v>
      </c>
      <c r="AP55" s="51" t="s">
        <v>67</v>
      </c>
      <c r="AQ55" s="51" t="b">
        <f t="shared" si="88"/>
        <v>1</v>
      </c>
    </row>
    <row r="56" ht="14.25" customHeight="1" spans="1:43">
      <c r="A56" s="71" t="s">
        <v>68</v>
      </c>
      <c r="B56" s="72">
        <f t="shared" si="114"/>
        <v>1</v>
      </c>
      <c r="C56" s="72">
        <f t="shared" si="115"/>
        <v>1</v>
      </c>
      <c r="D56" s="72">
        <f t="shared" si="116"/>
        <v>0</v>
      </c>
      <c r="E56" s="72">
        <f t="shared" si="117"/>
        <v>-1</v>
      </c>
      <c r="F56" s="72">
        <f t="shared" si="31"/>
        <v>-1</v>
      </c>
      <c r="G56" s="73">
        <f t="shared" si="118"/>
        <v>35</v>
      </c>
      <c r="H56" s="73">
        <f>ROUND($X$2/$U$6*U56,0)</f>
        <v>1</v>
      </c>
      <c r="I56" s="86">
        <f t="shared" si="119"/>
        <v>20</v>
      </c>
      <c r="J56" s="86">
        <f>ROUND($R$2*T56*U56/$U$6,0)</f>
        <v>20</v>
      </c>
      <c r="K56" s="86">
        <f t="shared" si="120"/>
        <v>14</v>
      </c>
      <c r="L56" s="86">
        <f>ROUND($Y$2*T56*U56/$U$6,0)</f>
        <v>14</v>
      </c>
      <c r="M56" s="86">
        <f t="shared" si="121"/>
        <v>1</v>
      </c>
      <c r="N56" s="87">
        <f t="shared" si="122"/>
        <v>34</v>
      </c>
      <c r="O56" s="87">
        <v>20</v>
      </c>
      <c r="P56" s="87">
        <v>14</v>
      </c>
      <c r="Q56" s="104">
        <v>2</v>
      </c>
      <c r="R56" s="104">
        <f t="shared" si="34"/>
        <v>16</v>
      </c>
      <c r="S56" s="105"/>
      <c r="T56" s="106">
        <f t="shared" si="123"/>
        <v>1.1</v>
      </c>
      <c r="U56" s="107">
        <f t="shared" si="124"/>
        <v>965</v>
      </c>
      <c r="V56" s="108">
        <v>361</v>
      </c>
      <c r="W56" s="108">
        <v>604</v>
      </c>
      <c r="X56" s="109">
        <f t="shared" si="125"/>
        <v>67</v>
      </c>
      <c r="Y56" s="118">
        <v>0</v>
      </c>
      <c r="Z56" s="108">
        <v>67</v>
      </c>
      <c r="AA56" s="117">
        <v>502</v>
      </c>
      <c r="AB56" s="108">
        <v>502</v>
      </c>
      <c r="AC56" s="108"/>
      <c r="AD56" s="108"/>
      <c r="AE56" s="117">
        <v>980</v>
      </c>
      <c r="AF56" s="108">
        <v>980</v>
      </c>
      <c r="AG56" s="108"/>
      <c r="AH56" s="123">
        <f t="shared" si="126"/>
        <v>5</v>
      </c>
      <c r="AI56" s="124">
        <f t="shared" si="127"/>
        <v>3</v>
      </c>
      <c r="AJ56" s="124">
        <f t="shared" si="128"/>
        <v>1</v>
      </c>
      <c r="AK56" s="124">
        <f t="shared" si="129"/>
        <v>1</v>
      </c>
      <c r="AL56" s="125"/>
      <c r="AM56" s="125">
        <v>87</v>
      </c>
      <c r="AO56" s="51">
        <f t="shared" si="130"/>
        <v>1.1</v>
      </c>
      <c r="AP56" s="51" t="s">
        <v>68</v>
      </c>
      <c r="AQ56" s="51" t="b">
        <f t="shared" si="88"/>
        <v>1</v>
      </c>
    </row>
    <row r="57" ht="14.25" customHeight="1" spans="1:43">
      <c r="A57" s="75" t="s">
        <v>69</v>
      </c>
      <c r="B57" s="72">
        <f t="shared" si="114"/>
        <v>35</v>
      </c>
      <c r="C57" s="72">
        <f t="shared" si="115"/>
        <v>28</v>
      </c>
      <c r="D57" s="72">
        <f t="shared" si="116"/>
        <v>7</v>
      </c>
      <c r="E57" s="72">
        <f t="shared" si="117"/>
        <v>0</v>
      </c>
      <c r="F57" s="72">
        <f t="shared" si="31"/>
        <v>7</v>
      </c>
      <c r="G57" s="73">
        <f t="shared" si="118"/>
        <v>450</v>
      </c>
      <c r="H57" s="73">
        <f>ROUND($X$2/$U$6*U57,0)</f>
        <v>14</v>
      </c>
      <c r="I57" s="86">
        <f t="shared" si="119"/>
        <v>262</v>
      </c>
      <c r="J57" s="86">
        <f>ROUND($R$2*T57*U57/$U$6,0)</f>
        <v>266</v>
      </c>
      <c r="K57" s="86">
        <f t="shared" si="120"/>
        <v>174</v>
      </c>
      <c r="L57" s="86">
        <f>ROUND($Y$2*T57*U57/$U$6,0)</f>
        <v>177</v>
      </c>
      <c r="M57" s="86">
        <f t="shared" si="121"/>
        <v>0</v>
      </c>
      <c r="N57" s="87">
        <f t="shared" si="122"/>
        <v>415</v>
      </c>
      <c r="O57" s="87">
        <v>248</v>
      </c>
      <c r="P57" s="87">
        <v>167</v>
      </c>
      <c r="Q57" s="104">
        <v>0</v>
      </c>
      <c r="R57" s="104">
        <f t="shared" si="34"/>
        <v>167</v>
      </c>
      <c r="S57" s="100" t="s">
        <v>165</v>
      </c>
      <c r="T57" s="106">
        <f t="shared" si="123"/>
        <v>1.1</v>
      </c>
      <c r="U57" s="107">
        <f t="shared" si="124"/>
        <v>12616</v>
      </c>
      <c r="V57" s="108">
        <v>4412</v>
      </c>
      <c r="W57" s="108">
        <v>8204</v>
      </c>
      <c r="X57" s="109">
        <f t="shared" si="125"/>
        <v>0</v>
      </c>
      <c r="Y57" s="118">
        <v>0</v>
      </c>
      <c r="Z57" s="118">
        <v>0</v>
      </c>
      <c r="AA57" s="117">
        <v>5249</v>
      </c>
      <c r="AB57" s="108">
        <v>5249</v>
      </c>
      <c r="AC57" s="108">
        <v>1649</v>
      </c>
      <c r="AD57" s="108"/>
      <c r="AE57" s="117">
        <v>8699</v>
      </c>
      <c r="AF57" s="108">
        <v>8699</v>
      </c>
      <c r="AG57" s="108">
        <v>329</v>
      </c>
      <c r="AH57" s="123">
        <f t="shared" si="126"/>
        <v>51</v>
      </c>
      <c r="AI57" s="124">
        <f t="shared" si="127"/>
        <v>31</v>
      </c>
      <c r="AJ57" s="124">
        <f t="shared" si="128"/>
        <v>12</v>
      </c>
      <c r="AK57" s="124">
        <f t="shared" si="129"/>
        <v>8</v>
      </c>
      <c r="AL57" s="125"/>
      <c r="AM57" s="125">
        <v>854</v>
      </c>
      <c r="AO57" s="51">
        <f t="shared" si="130"/>
        <v>1.1</v>
      </c>
      <c r="AP57" s="51" t="s">
        <v>69</v>
      </c>
      <c r="AQ57" s="51" t="b">
        <f t="shared" si="88"/>
        <v>1</v>
      </c>
    </row>
    <row r="58" ht="14.25" customHeight="1" spans="1:43">
      <c r="A58" s="75" t="s">
        <v>70</v>
      </c>
      <c r="B58" s="72">
        <f t="shared" si="114"/>
        <v>42</v>
      </c>
      <c r="C58" s="72">
        <f t="shared" si="115"/>
        <v>35</v>
      </c>
      <c r="D58" s="72">
        <f t="shared" si="116"/>
        <v>7</v>
      </c>
      <c r="E58" s="72">
        <f t="shared" si="117"/>
        <v>0</v>
      </c>
      <c r="F58" s="72">
        <f t="shared" si="31"/>
        <v>7</v>
      </c>
      <c r="G58" s="73">
        <f t="shared" si="118"/>
        <v>667</v>
      </c>
      <c r="H58" s="73">
        <f>ROUND($X$2/$U$6*U58,0)</f>
        <v>20</v>
      </c>
      <c r="I58" s="86">
        <f t="shared" si="119"/>
        <v>388</v>
      </c>
      <c r="J58" s="86">
        <f>ROUND($R$2*T58*U58/$U$6,0)</f>
        <v>395</v>
      </c>
      <c r="K58" s="86">
        <f t="shared" si="120"/>
        <v>259</v>
      </c>
      <c r="L58" s="86">
        <f>ROUND($Y$2*T58*U58/$U$6,0)</f>
        <v>263</v>
      </c>
      <c r="M58" s="86">
        <f t="shared" si="121"/>
        <v>0</v>
      </c>
      <c r="N58" s="87">
        <f t="shared" si="122"/>
        <v>625</v>
      </c>
      <c r="O58" s="87">
        <v>373</v>
      </c>
      <c r="P58" s="87">
        <v>252</v>
      </c>
      <c r="Q58" s="104">
        <v>0</v>
      </c>
      <c r="R58" s="104">
        <f t="shared" si="34"/>
        <v>252</v>
      </c>
      <c r="S58" s="100" t="s">
        <v>165</v>
      </c>
      <c r="T58" s="106">
        <f t="shared" si="123"/>
        <v>1.1</v>
      </c>
      <c r="U58" s="107">
        <f t="shared" si="124"/>
        <v>18753</v>
      </c>
      <c r="V58" s="108">
        <v>7197</v>
      </c>
      <c r="W58" s="108">
        <v>11556</v>
      </c>
      <c r="X58" s="109">
        <f t="shared" si="125"/>
        <v>0</v>
      </c>
      <c r="Y58" s="118">
        <v>0</v>
      </c>
      <c r="Z58" s="118">
        <v>0</v>
      </c>
      <c r="AA58" s="117">
        <v>8683</v>
      </c>
      <c r="AB58" s="108">
        <v>8300</v>
      </c>
      <c r="AC58" s="108">
        <v>3719</v>
      </c>
      <c r="AD58" s="108"/>
      <c r="AE58" s="117">
        <v>14354</v>
      </c>
      <c r="AF58" s="108">
        <v>13685</v>
      </c>
      <c r="AG58" s="108">
        <v>1222</v>
      </c>
      <c r="AH58" s="123">
        <f t="shared" si="126"/>
        <v>61</v>
      </c>
      <c r="AI58" s="124">
        <f t="shared" si="127"/>
        <v>36</v>
      </c>
      <c r="AJ58" s="124">
        <f t="shared" si="128"/>
        <v>15</v>
      </c>
      <c r="AK58" s="124">
        <f t="shared" si="129"/>
        <v>10</v>
      </c>
      <c r="AL58" s="125">
        <v>11</v>
      </c>
      <c r="AM58" s="125">
        <v>994</v>
      </c>
      <c r="AO58" s="51">
        <f t="shared" si="130"/>
        <v>1.1</v>
      </c>
      <c r="AP58" s="51" t="s">
        <v>70</v>
      </c>
      <c r="AQ58" s="51" t="b">
        <f t="shared" si="88"/>
        <v>1</v>
      </c>
    </row>
    <row r="59" ht="14.25" customHeight="1" spans="1:43">
      <c r="A59" s="75" t="s">
        <v>71</v>
      </c>
      <c r="B59" s="72">
        <f t="shared" si="114"/>
        <v>73</v>
      </c>
      <c r="C59" s="72">
        <f t="shared" si="115"/>
        <v>56</v>
      </c>
      <c r="D59" s="72">
        <f t="shared" si="116"/>
        <v>17</v>
      </c>
      <c r="E59" s="72">
        <f t="shared" si="117"/>
        <v>0</v>
      </c>
      <c r="F59" s="72">
        <f t="shared" si="31"/>
        <v>17</v>
      </c>
      <c r="G59" s="73">
        <f t="shared" si="118"/>
        <v>818</v>
      </c>
      <c r="H59" s="73">
        <f>ROUND($X$2/$U$6*U59,0)</f>
        <v>25</v>
      </c>
      <c r="I59" s="86">
        <f t="shared" si="119"/>
        <v>476</v>
      </c>
      <c r="J59" s="86">
        <f>ROUND($R$2*T59*U59/$U$6,0)</f>
        <v>484</v>
      </c>
      <c r="K59" s="86">
        <f t="shared" si="120"/>
        <v>317</v>
      </c>
      <c r="L59" s="86">
        <f>ROUND($Y$2*T59*U59/$U$6,0)</f>
        <v>322</v>
      </c>
      <c r="M59" s="86">
        <f t="shared" si="121"/>
        <v>0</v>
      </c>
      <c r="N59" s="87">
        <f t="shared" si="122"/>
        <v>745</v>
      </c>
      <c r="O59" s="87">
        <v>445</v>
      </c>
      <c r="P59" s="87">
        <v>300</v>
      </c>
      <c r="Q59" s="104">
        <v>0</v>
      </c>
      <c r="R59" s="104">
        <f t="shared" si="34"/>
        <v>300</v>
      </c>
      <c r="S59" s="105" t="s">
        <v>137</v>
      </c>
      <c r="T59" s="106">
        <f t="shared" si="123"/>
        <v>1.1</v>
      </c>
      <c r="U59" s="107">
        <f t="shared" si="124"/>
        <v>22977</v>
      </c>
      <c r="V59" s="108">
        <v>7935</v>
      </c>
      <c r="W59" s="108">
        <v>15042</v>
      </c>
      <c r="X59" s="109">
        <f t="shared" si="125"/>
        <v>0</v>
      </c>
      <c r="Y59" s="118">
        <v>0</v>
      </c>
      <c r="Z59" s="118">
        <v>0</v>
      </c>
      <c r="AA59" s="117">
        <v>7506</v>
      </c>
      <c r="AB59" s="108">
        <v>7506</v>
      </c>
      <c r="AC59" s="108">
        <v>3260</v>
      </c>
      <c r="AD59" s="108"/>
      <c r="AE59" s="117">
        <v>16112</v>
      </c>
      <c r="AF59" s="108">
        <v>16112</v>
      </c>
      <c r="AG59" s="108">
        <v>2896</v>
      </c>
      <c r="AH59" s="123">
        <f t="shared" si="126"/>
        <v>46</v>
      </c>
      <c r="AI59" s="124">
        <f t="shared" si="127"/>
        <v>28</v>
      </c>
      <c r="AJ59" s="124">
        <f t="shared" si="128"/>
        <v>11</v>
      </c>
      <c r="AK59" s="124">
        <f t="shared" si="129"/>
        <v>7</v>
      </c>
      <c r="AL59" s="125">
        <v>9</v>
      </c>
      <c r="AM59" s="125">
        <v>761</v>
      </c>
      <c r="AO59" s="51">
        <f t="shared" si="130"/>
        <v>1.1</v>
      </c>
      <c r="AP59" s="51" t="s">
        <v>71</v>
      </c>
      <c r="AQ59" s="51" t="b">
        <f t="shared" si="88"/>
        <v>1</v>
      </c>
    </row>
    <row r="60" ht="14.25" customHeight="1" spans="1:43">
      <c r="A60" s="75" t="s">
        <v>72</v>
      </c>
      <c r="B60" s="72">
        <f t="shared" si="114"/>
        <v>129</v>
      </c>
      <c r="C60" s="72">
        <f t="shared" si="115"/>
        <v>95</v>
      </c>
      <c r="D60" s="72">
        <f t="shared" si="116"/>
        <v>34</v>
      </c>
      <c r="E60" s="72">
        <f t="shared" si="117"/>
        <v>0</v>
      </c>
      <c r="F60" s="72">
        <f t="shared" si="31"/>
        <v>34</v>
      </c>
      <c r="G60" s="73">
        <f t="shared" si="118"/>
        <v>1119</v>
      </c>
      <c r="H60" s="73">
        <f>ROUND($X$2/$U$6*U60,0)</f>
        <v>37</v>
      </c>
      <c r="I60" s="86">
        <f t="shared" si="119"/>
        <v>649</v>
      </c>
      <c r="J60" s="86">
        <f>ROUND($R$2*T60*U60/$U$6,0)</f>
        <v>660</v>
      </c>
      <c r="K60" s="86">
        <f t="shared" si="120"/>
        <v>433</v>
      </c>
      <c r="L60" s="86">
        <f>ROUND($Y$2*T60*U60/$U$6,0)</f>
        <v>440</v>
      </c>
      <c r="M60" s="86">
        <f t="shared" si="121"/>
        <v>0</v>
      </c>
      <c r="N60" s="87">
        <f t="shared" si="122"/>
        <v>990</v>
      </c>
      <c r="O60" s="87">
        <v>591</v>
      </c>
      <c r="P60" s="87">
        <v>399</v>
      </c>
      <c r="Q60" s="104">
        <v>0</v>
      </c>
      <c r="R60" s="104">
        <f t="shared" si="34"/>
        <v>399</v>
      </c>
      <c r="S60" s="100" t="s">
        <v>165</v>
      </c>
      <c r="T60" s="106">
        <f t="shared" si="123"/>
        <v>1</v>
      </c>
      <c r="U60" s="107">
        <f t="shared" si="124"/>
        <v>34491</v>
      </c>
      <c r="V60" s="108">
        <v>10792</v>
      </c>
      <c r="W60" s="108">
        <v>23699</v>
      </c>
      <c r="X60" s="109">
        <f t="shared" si="125"/>
        <v>0</v>
      </c>
      <c r="Y60" s="118">
        <v>0</v>
      </c>
      <c r="Z60" s="118">
        <v>0</v>
      </c>
      <c r="AA60" s="117">
        <v>13056</v>
      </c>
      <c r="AB60" s="108">
        <v>10355</v>
      </c>
      <c r="AC60" s="108">
        <v>1264</v>
      </c>
      <c r="AD60" s="108"/>
      <c r="AE60" s="117">
        <v>25075</v>
      </c>
      <c r="AF60" s="108">
        <v>23397</v>
      </c>
      <c r="AG60" s="108">
        <v>6</v>
      </c>
      <c r="AH60" s="123">
        <f t="shared" si="126"/>
        <v>0</v>
      </c>
      <c r="AI60" s="124">
        <f t="shared" si="127"/>
        <v>0</v>
      </c>
      <c r="AJ60" s="124">
        <f t="shared" si="128"/>
        <v>0</v>
      </c>
      <c r="AK60" s="124">
        <f t="shared" si="129"/>
        <v>0</v>
      </c>
      <c r="AL60" s="125"/>
      <c r="AM60" s="125"/>
      <c r="AO60" s="51">
        <f t="shared" si="130"/>
        <v>1</v>
      </c>
      <c r="AP60" s="51" t="s">
        <v>72</v>
      </c>
      <c r="AQ60" s="51" t="b">
        <f t="shared" si="88"/>
        <v>1</v>
      </c>
    </row>
    <row r="61" ht="14.25" customHeight="1" spans="1:43">
      <c r="A61" s="75" t="s">
        <v>73</v>
      </c>
      <c r="B61" s="72">
        <f t="shared" si="114"/>
        <v>29</v>
      </c>
      <c r="C61" s="72">
        <f t="shared" si="115"/>
        <v>22</v>
      </c>
      <c r="D61" s="72">
        <f t="shared" si="116"/>
        <v>7</v>
      </c>
      <c r="E61" s="72">
        <f t="shared" si="117"/>
        <v>0</v>
      </c>
      <c r="F61" s="72">
        <f t="shared" si="31"/>
        <v>7</v>
      </c>
      <c r="G61" s="73">
        <f t="shared" si="118"/>
        <v>375</v>
      </c>
      <c r="H61" s="73">
        <f>ROUND($X$2/$U$6*U61,0)</f>
        <v>11</v>
      </c>
      <c r="I61" s="86">
        <f t="shared" si="119"/>
        <v>218</v>
      </c>
      <c r="J61" s="86">
        <f>ROUND($R$2*T61*U61/$U$6,0)</f>
        <v>222</v>
      </c>
      <c r="K61" s="86">
        <f t="shared" si="120"/>
        <v>146</v>
      </c>
      <c r="L61" s="86">
        <f>ROUND($Y$2*T61*U61/$U$6,0)</f>
        <v>148</v>
      </c>
      <c r="M61" s="86">
        <f t="shared" si="121"/>
        <v>0</v>
      </c>
      <c r="N61" s="87">
        <f t="shared" si="122"/>
        <v>346</v>
      </c>
      <c r="O61" s="87">
        <v>207</v>
      </c>
      <c r="P61" s="87">
        <v>139</v>
      </c>
      <c r="Q61" s="104">
        <v>0</v>
      </c>
      <c r="R61" s="104">
        <f t="shared" si="34"/>
        <v>139</v>
      </c>
      <c r="S61" s="100" t="s">
        <v>165</v>
      </c>
      <c r="T61" s="106">
        <f t="shared" si="123"/>
        <v>1.1</v>
      </c>
      <c r="U61" s="107">
        <f t="shared" si="124"/>
        <v>10555</v>
      </c>
      <c r="V61" s="108">
        <v>3753</v>
      </c>
      <c r="W61" s="108">
        <v>6802</v>
      </c>
      <c r="X61" s="109">
        <f t="shared" si="125"/>
        <v>0</v>
      </c>
      <c r="Y61" s="118">
        <v>0</v>
      </c>
      <c r="Z61" s="118">
        <v>0</v>
      </c>
      <c r="AA61" s="117">
        <v>4590</v>
      </c>
      <c r="AB61" s="108">
        <v>4590</v>
      </c>
      <c r="AC61" s="108">
        <v>1730</v>
      </c>
      <c r="AD61" s="108"/>
      <c r="AE61" s="117">
        <v>7315</v>
      </c>
      <c r="AF61" s="108">
        <v>7315</v>
      </c>
      <c r="AG61" s="108">
        <v>247</v>
      </c>
      <c r="AH61" s="123">
        <f t="shared" si="126"/>
        <v>93</v>
      </c>
      <c r="AI61" s="124">
        <f t="shared" si="127"/>
        <v>56</v>
      </c>
      <c r="AJ61" s="124">
        <f t="shared" si="128"/>
        <v>22</v>
      </c>
      <c r="AK61" s="124">
        <f t="shared" si="129"/>
        <v>15</v>
      </c>
      <c r="AL61" s="125">
        <v>80</v>
      </c>
      <c r="AM61" s="125">
        <v>1450</v>
      </c>
      <c r="AO61" s="51">
        <f t="shared" si="130"/>
        <v>1.1</v>
      </c>
      <c r="AP61" s="51" t="s">
        <v>73</v>
      </c>
      <c r="AQ61" s="51" t="b">
        <f t="shared" si="88"/>
        <v>1</v>
      </c>
    </row>
    <row r="62" ht="14.25" customHeight="1" spans="1:43">
      <c r="A62" s="76" t="s">
        <v>74</v>
      </c>
      <c r="B62" s="77">
        <f>SUM(B63:B65)</f>
        <v>18</v>
      </c>
      <c r="C62" s="77">
        <f t="shared" ref="C62:K62" si="131">SUM(C63:C65)</f>
        <v>16</v>
      </c>
      <c r="D62" s="77">
        <f t="shared" si="131"/>
        <v>2</v>
      </c>
      <c r="E62" s="77">
        <f t="shared" si="131"/>
        <v>25</v>
      </c>
      <c r="F62" s="77">
        <f t="shared" si="131"/>
        <v>27</v>
      </c>
      <c r="G62" s="78">
        <f t="shared" si="131"/>
        <v>298</v>
      </c>
      <c r="H62" s="78">
        <f t="shared" si="131"/>
        <v>9</v>
      </c>
      <c r="I62" s="78">
        <f t="shared" si="131"/>
        <v>174</v>
      </c>
      <c r="J62" s="78">
        <f t="shared" si="131"/>
        <v>176</v>
      </c>
      <c r="K62" s="78">
        <f t="shared" si="131"/>
        <v>115</v>
      </c>
      <c r="L62" s="78">
        <f t="shared" ref="L62:Q62" si="132">SUM(L63:L65)</f>
        <v>117</v>
      </c>
      <c r="M62" s="78">
        <f t="shared" si="132"/>
        <v>291</v>
      </c>
      <c r="N62" s="88">
        <f t="shared" si="132"/>
        <v>280</v>
      </c>
      <c r="O62" s="88">
        <v>167</v>
      </c>
      <c r="P62" s="88">
        <v>113</v>
      </c>
      <c r="Q62" s="88">
        <v>266</v>
      </c>
      <c r="R62" s="104">
        <f t="shared" si="34"/>
        <v>379</v>
      </c>
      <c r="S62" s="100" t="s">
        <v>165</v>
      </c>
      <c r="T62" s="106"/>
      <c r="U62" s="110">
        <f t="shared" ref="U62:AC62" si="133">SUM(U63:U65)</f>
        <v>8386</v>
      </c>
      <c r="V62" s="111">
        <f t="shared" si="133"/>
        <v>2917</v>
      </c>
      <c r="W62" s="111">
        <f t="shared" si="133"/>
        <v>5469</v>
      </c>
      <c r="X62" s="110">
        <f t="shared" si="133"/>
        <v>14272</v>
      </c>
      <c r="Y62" s="111">
        <f t="shared" si="133"/>
        <v>4244</v>
      </c>
      <c r="Z62" s="111">
        <f t="shared" si="133"/>
        <v>10028</v>
      </c>
      <c r="AA62" s="110">
        <f t="shared" si="133"/>
        <v>9434</v>
      </c>
      <c r="AB62" s="110">
        <f t="shared" si="133"/>
        <v>7865</v>
      </c>
      <c r="AC62" s="110">
        <f t="shared" si="133"/>
        <v>167</v>
      </c>
      <c r="AD62" s="110"/>
      <c r="AE62" s="110">
        <f t="shared" ref="AE62:AM62" si="134">SUM(AE63:AE65)</f>
        <v>17770</v>
      </c>
      <c r="AF62" s="110">
        <f t="shared" si="134"/>
        <v>16122</v>
      </c>
      <c r="AG62" s="110">
        <f t="shared" si="134"/>
        <v>21</v>
      </c>
      <c r="AH62" s="110">
        <f t="shared" si="134"/>
        <v>95</v>
      </c>
      <c r="AI62" s="110">
        <f t="shared" si="134"/>
        <v>57</v>
      </c>
      <c r="AJ62" s="110">
        <f t="shared" si="134"/>
        <v>23</v>
      </c>
      <c r="AK62" s="110">
        <f t="shared" si="134"/>
        <v>15</v>
      </c>
      <c r="AL62" s="110">
        <f t="shared" si="134"/>
        <v>125</v>
      </c>
      <c r="AM62" s="110">
        <f t="shared" si="134"/>
        <v>1409</v>
      </c>
      <c r="AO62" s="51">
        <f t="shared" si="130"/>
        <v>1.1</v>
      </c>
      <c r="AP62" s="51" t="s">
        <v>74</v>
      </c>
      <c r="AQ62" s="51" t="b">
        <f t="shared" si="88"/>
        <v>1</v>
      </c>
    </row>
    <row r="63" ht="14.25" customHeight="1" spans="1:43">
      <c r="A63" s="71" t="s">
        <v>26</v>
      </c>
      <c r="B63" s="72">
        <f t="shared" ref="B63:B69" si="135">C63+D63</f>
        <v>0</v>
      </c>
      <c r="C63" s="72">
        <f t="shared" ref="C63:C69" si="136">I63-O63+H63</f>
        <v>0</v>
      </c>
      <c r="D63" s="72">
        <f t="shared" ref="D63:D69" si="137">K63-P63</f>
        <v>0</v>
      </c>
      <c r="E63" s="72">
        <f t="shared" ref="E63:E69" si="138">M63-Q63</f>
        <v>11</v>
      </c>
      <c r="F63" s="72">
        <f t="shared" si="31"/>
        <v>11</v>
      </c>
      <c r="G63" s="73">
        <f t="shared" ref="G63:G69" si="139">I63+K63+H63</f>
        <v>0</v>
      </c>
      <c r="H63" s="73">
        <f>ROUND($X$2/$U$6*U63,0)</f>
        <v>0</v>
      </c>
      <c r="I63" s="86">
        <f t="shared" ref="I63:I69" si="140">ROUND(24000/24412*J63,0)</f>
        <v>0</v>
      </c>
      <c r="J63" s="86">
        <f>ROUND($R$2*T63*U63/$U$6,0)</f>
        <v>0</v>
      </c>
      <c r="K63" s="86">
        <f t="shared" ref="K63:K69" si="141">ROUND(16000/16274*L63,0)</f>
        <v>0</v>
      </c>
      <c r="L63" s="86">
        <f>ROUND($Y$2*T63*U63/$U$6,0)</f>
        <v>0</v>
      </c>
      <c r="M63" s="86">
        <f t="shared" ref="M63:M69" si="142">ROUND(8040*X63/$X$6,0)</f>
        <v>114</v>
      </c>
      <c r="N63" s="87">
        <f t="shared" ref="N63:N69" si="143">O63+P63</f>
        <v>0</v>
      </c>
      <c r="O63" s="87">
        <v>0</v>
      </c>
      <c r="P63" s="87">
        <v>0</v>
      </c>
      <c r="Q63" s="104">
        <v>103</v>
      </c>
      <c r="R63" s="104">
        <f t="shared" si="34"/>
        <v>103</v>
      </c>
      <c r="S63" s="105"/>
      <c r="T63" s="106">
        <f>AO63</f>
        <v>1.1</v>
      </c>
      <c r="U63" s="107">
        <f t="shared" ref="U63:U69" si="144">V63+W63</f>
        <v>0</v>
      </c>
      <c r="V63" s="108">
        <v>0</v>
      </c>
      <c r="W63" s="108">
        <v>0</v>
      </c>
      <c r="X63" s="109">
        <f t="shared" ref="X63:X69" si="145">Y63+Z63</f>
        <v>5587</v>
      </c>
      <c r="Y63" s="108">
        <v>1818</v>
      </c>
      <c r="Z63" s="108">
        <v>3769</v>
      </c>
      <c r="AA63" s="117">
        <v>3430</v>
      </c>
      <c r="AB63" s="108">
        <v>1861</v>
      </c>
      <c r="AC63" s="108"/>
      <c r="AD63" s="108"/>
      <c r="AE63" s="117">
        <v>5444</v>
      </c>
      <c r="AF63" s="108">
        <v>3796</v>
      </c>
      <c r="AG63" s="108"/>
      <c r="AH63" s="123">
        <f t="shared" ref="AH63:AH69" si="146">AI63+AJ63+AK63</f>
        <v>0</v>
      </c>
      <c r="AI63" s="124">
        <f t="shared" ref="AI63:AI69" si="147">ROUND((AL63*800+AM63*600)*0.6/10000,0)</f>
        <v>0</v>
      </c>
      <c r="AJ63" s="124">
        <f t="shared" ref="AJ63:AJ69" si="148">ROUND((AL63*800+AM63*600)*0.24/10000,0)</f>
        <v>0</v>
      </c>
      <c r="AK63" s="124">
        <f t="shared" ref="AK63:AK69" si="149">ROUND((AL63*800+AM63*600)*0.16/10000,0)</f>
        <v>0</v>
      </c>
      <c r="AL63" s="125"/>
      <c r="AM63" s="125"/>
      <c r="AO63" s="51">
        <f t="shared" si="130"/>
        <v>1.1</v>
      </c>
      <c r="AP63" s="51" t="s">
        <v>26</v>
      </c>
      <c r="AQ63" s="51" t="b">
        <f t="shared" si="88"/>
        <v>1</v>
      </c>
    </row>
    <row r="64" ht="14.25" customHeight="1" spans="1:43">
      <c r="A64" s="71" t="s">
        <v>75</v>
      </c>
      <c r="B64" s="72">
        <f t="shared" si="135"/>
        <v>-1</v>
      </c>
      <c r="C64" s="72">
        <f t="shared" si="136"/>
        <v>0</v>
      </c>
      <c r="D64" s="72">
        <f t="shared" si="137"/>
        <v>-1</v>
      </c>
      <c r="E64" s="72">
        <f t="shared" si="138"/>
        <v>14</v>
      </c>
      <c r="F64" s="72">
        <f t="shared" si="31"/>
        <v>13</v>
      </c>
      <c r="G64" s="73">
        <f t="shared" si="139"/>
        <v>49</v>
      </c>
      <c r="H64" s="73">
        <f>ROUND($X$2/$U$6*U64,0)</f>
        <v>1</v>
      </c>
      <c r="I64" s="86">
        <f t="shared" si="140"/>
        <v>29</v>
      </c>
      <c r="J64" s="86">
        <f>ROUND($R$2*T64*U64/$U$6,0)</f>
        <v>29</v>
      </c>
      <c r="K64" s="86">
        <f t="shared" si="141"/>
        <v>19</v>
      </c>
      <c r="L64" s="86">
        <f>ROUND($Y$2*T64*U64/$U$6,0)</f>
        <v>19</v>
      </c>
      <c r="M64" s="86">
        <f t="shared" si="142"/>
        <v>177</v>
      </c>
      <c r="N64" s="87">
        <f t="shared" si="143"/>
        <v>50</v>
      </c>
      <c r="O64" s="87">
        <v>30</v>
      </c>
      <c r="P64" s="87">
        <v>20</v>
      </c>
      <c r="Q64" s="104">
        <v>163</v>
      </c>
      <c r="R64" s="104">
        <f t="shared" si="34"/>
        <v>183</v>
      </c>
      <c r="S64" s="105"/>
      <c r="T64" s="106">
        <f t="shared" ref="T64:T69" si="150">AO64</f>
        <v>1.1</v>
      </c>
      <c r="U64" s="107">
        <f t="shared" si="144"/>
        <v>1383</v>
      </c>
      <c r="V64" s="108">
        <v>510</v>
      </c>
      <c r="W64" s="108">
        <v>873</v>
      </c>
      <c r="X64" s="109">
        <f t="shared" si="145"/>
        <v>8685</v>
      </c>
      <c r="Y64" s="108">
        <v>2426</v>
      </c>
      <c r="Z64" s="108">
        <v>6259</v>
      </c>
      <c r="AA64" s="117">
        <v>3349</v>
      </c>
      <c r="AB64" s="108">
        <v>3349</v>
      </c>
      <c r="AC64" s="108">
        <v>149</v>
      </c>
      <c r="AD64" s="108"/>
      <c r="AE64" s="117">
        <v>7042</v>
      </c>
      <c r="AF64" s="108">
        <v>7042</v>
      </c>
      <c r="AG64" s="108">
        <v>13</v>
      </c>
      <c r="AH64" s="123">
        <f t="shared" si="146"/>
        <v>53</v>
      </c>
      <c r="AI64" s="124">
        <f t="shared" si="147"/>
        <v>32</v>
      </c>
      <c r="AJ64" s="124">
        <f t="shared" si="148"/>
        <v>13</v>
      </c>
      <c r="AK64" s="124">
        <f t="shared" si="149"/>
        <v>8</v>
      </c>
      <c r="AL64" s="125">
        <v>40</v>
      </c>
      <c r="AM64" s="125">
        <v>823</v>
      </c>
      <c r="AO64" s="51">
        <f t="shared" si="130"/>
        <v>1.1</v>
      </c>
      <c r="AP64" s="51" t="s">
        <v>75</v>
      </c>
      <c r="AQ64" s="51" t="b">
        <f t="shared" si="88"/>
        <v>1</v>
      </c>
    </row>
    <row r="65" ht="14.25" customHeight="1" spans="1:43">
      <c r="A65" s="74" t="s">
        <v>76</v>
      </c>
      <c r="B65" s="72">
        <f t="shared" si="135"/>
        <v>19</v>
      </c>
      <c r="C65" s="72">
        <f t="shared" si="136"/>
        <v>16</v>
      </c>
      <c r="D65" s="72">
        <f t="shared" si="137"/>
        <v>3</v>
      </c>
      <c r="E65" s="72">
        <f t="shared" si="138"/>
        <v>0</v>
      </c>
      <c r="F65" s="72">
        <f t="shared" si="31"/>
        <v>3</v>
      </c>
      <c r="G65" s="73">
        <f t="shared" si="139"/>
        <v>249</v>
      </c>
      <c r="H65" s="73">
        <f>ROUND($X$2/$U$6*U65,0)</f>
        <v>8</v>
      </c>
      <c r="I65" s="86">
        <f t="shared" si="140"/>
        <v>145</v>
      </c>
      <c r="J65" s="86">
        <f>ROUND($R$2*T65*U65/$U$6,0)</f>
        <v>147</v>
      </c>
      <c r="K65" s="86">
        <f t="shared" si="141"/>
        <v>96</v>
      </c>
      <c r="L65" s="86">
        <f>ROUND($Y$2*T65*U65/$U$6,0)</f>
        <v>98</v>
      </c>
      <c r="M65" s="86">
        <f t="shared" si="142"/>
        <v>0</v>
      </c>
      <c r="N65" s="87">
        <f t="shared" si="143"/>
        <v>230</v>
      </c>
      <c r="O65" s="87">
        <v>137</v>
      </c>
      <c r="P65" s="87">
        <v>93</v>
      </c>
      <c r="Q65" s="104">
        <v>0</v>
      </c>
      <c r="R65" s="104">
        <f t="shared" si="34"/>
        <v>93</v>
      </c>
      <c r="S65" s="105"/>
      <c r="T65" s="106">
        <f t="shared" si="150"/>
        <v>1.1</v>
      </c>
      <c r="U65" s="107">
        <f t="shared" si="144"/>
        <v>7003</v>
      </c>
      <c r="V65" s="108">
        <v>2407</v>
      </c>
      <c r="W65" s="108">
        <v>4596</v>
      </c>
      <c r="X65" s="109">
        <f t="shared" si="145"/>
        <v>0</v>
      </c>
      <c r="Y65" s="118">
        <v>0</v>
      </c>
      <c r="Z65" s="118">
        <v>0</v>
      </c>
      <c r="AA65" s="117">
        <v>2655</v>
      </c>
      <c r="AB65" s="108">
        <v>2655</v>
      </c>
      <c r="AC65" s="108">
        <v>18</v>
      </c>
      <c r="AD65" s="108"/>
      <c r="AE65" s="117">
        <v>5284</v>
      </c>
      <c r="AF65" s="108">
        <v>5284</v>
      </c>
      <c r="AG65" s="108">
        <v>8</v>
      </c>
      <c r="AH65" s="123">
        <f t="shared" si="146"/>
        <v>42</v>
      </c>
      <c r="AI65" s="124">
        <f t="shared" si="147"/>
        <v>25</v>
      </c>
      <c r="AJ65" s="124">
        <f t="shared" si="148"/>
        <v>10</v>
      </c>
      <c r="AK65" s="124">
        <f t="shared" si="149"/>
        <v>7</v>
      </c>
      <c r="AL65" s="125">
        <v>85</v>
      </c>
      <c r="AM65" s="125">
        <v>586</v>
      </c>
      <c r="AO65" s="51">
        <f t="shared" si="130"/>
        <v>1.1</v>
      </c>
      <c r="AP65" s="51" t="s">
        <v>76</v>
      </c>
      <c r="AQ65" s="51" t="b">
        <f t="shared" si="88"/>
        <v>1</v>
      </c>
    </row>
    <row r="66" ht="14.25" customHeight="1" spans="1:43">
      <c r="A66" s="75" t="s">
        <v>77</v>
      </c>
      <c r="B66" s="72">
        <f t="shared" si="135"/>
        <v>55</v>
      </c>
      <c r="C66" s="72">
        <f t="shared" si="136"/>
        <v>42</v>
      </c>
      <c r="D66" s="72">
        <f t="shared" si="137"/>
        <v>13</v>
      </c>
      <c r="E66" s="72">
        <f t="shared" si="138"/>
        <v>0</v>
      </c>
      <c r="F66" s="72">
        <f t="shared" si="31"/>
        <v>13</v>
      </c>
      <c r="G66" s="73">
        <f t="shared" si="139"/>
        <v>598</v>
      </c>
      <c r="H66" s="73">
        <f>ROUND($X$2/$U$6*U66,0)</f>
        <v>18</v>
      </c>
      <c r="I66" s="86">
        <f t="shared" si="140"/>
        <v>348</v>
      </c>
      <c r="J66" s="86">
        <f>ROUND($R$2*T66*U66/$U$6,0)</f>
        <v>354</v>
      </c>
      <c r="K66" s="86">
        <f t="shared" si="141"/>
        <v>232</v>
      </c>
      <c r="L66" s="86">
        <f>ROUND($Y$2*T66*U66/$U$6,0)</f>
        <v>236</v>
      </c>
      <c r="M66" s="86">
        <f t="shared" si="142"/>
        <v>0</v>
      </c>
      <c r="N66" s="87">
        <f t="shared" si="143"/>
        <v>543</v>
      </c>
      <c r="O66" s="87">
        <v>324</v>
      </c>
      <c r="P66" s="87">
        <v>219</v>
      </c>
      <c r="Q66" s="104">
        <v>0</v>
      </c>
      <c r="R66" s="104">
        <f t="shared" si="34"/>
        <v>219</v>
      </c>
      <c r="S66" s="100" t="s">
        <v>165</v>
      </c>
      <c r="T66" s="106">
        <f t="shared" si="150"/>
        <v>1.1</v>
      </c>
      <c r="U66" s="107">
        <f t="shared" si="144"/>
        <v>16827</v>
      </c>
      <c r="V66" s="108">
        <v>5811</v>
      </c>
      <c r="W66" s="108">
        <v>11016</v>
      </c>
      <c r="X66" s="109">
        <f t="shared" si="145"/>
        <v>0</v>
      </c>
      <c r="Y66" s="118">
        <v>0</v>
      </c>
      <c r="Z66" s="118">
        <v>0</v>
      </c>
      <c r="AA66" s="117">
        <v>6722</v>
      </c>
      <c r="AB66" s="108">
        <v>6722</v>
      </c>
      <c r="AC66" s="108">
        <v>260</v>
      </c>
      <c r="AD66" s="108"/>
      <c r="AE66" s="117">
        <v>11032</v>
      </c>
      <c r="AF66" s="108">
        <v>11032</v>
      </c>
      <c r="AG66" s="108">
        <v>235</v>
      </c>
      <c r="AH66" s="123">
        <f t="shared" si="146"/>
        <v>62</v>
      </c>
      <c r="AI66" s="124">
        <f t="shared" si="147"/>
        <v>37</v>
      </c>
      <c r="AJ66" s="124">
        <f t="shared" si="148"/>
        <v>15</v>
      </c>
      <c r="AK66" s="124">
        <f t="shared" si="149"/>
        <v>10</v>
      </c>
      <c r="AL66" s="125"/>
      <c r="AM66" s="125">
        <v>1037</v>
      </c>
      <c r="AO66" s="51">
        <f t="shared" si="130"/>
        <v>1.1</v>
      </c>
      <c r="AP66" s="51" t="s">
        <v>77</v>
      </c>
      <c r="AQ66" s="51" t="b">
        <f t="shared" si="88"/>
        <v>1</v>
      </c>
    </row>
    <row r="67" ht="14.25" customHeight="1" spans="1:43">
      <c r="A67" s="75" t="s">
        <v>78</v>
      </c>
      <c r="B67" s="72">
        <f t="shared" si="135"/>
        <v>29</v>
      </c>
      <c r="C67" s="72">
        <f t="shared" si="136"/>
        <v>22</v>
      </c>
      <c r="D67" s="72">
        <f t="shared" si="137"/>
        <v>7</v>
      </c>
      <c r="E67" s="72">
        <f t="shared" si="138"/>
        <v>0</v>
      </c>
      <c r="F67" s="72">
        <f t="shared" si="31"/>
        <v>7</v>
      </c>
      <c r="G67" s="73">
        <f t="shared" si="139"/>
        <v>306</v>
      </c>
      <c r="H67" s="73">
        <f>ROUND($X$2/$U$6*U67,0)</f>
        <v>9</v>
      </c>
      <c r="I67" s="86">
        <f t="shared" si="140"/>
        <v>178</v>
      </c>
      <c r="J67" s="86">
        <f>ROUND($R$2*T67*U67/$U$6,0)</f>
        <v>181</v>
      </c>
      <c r="K67" s="86">
        <f t="shared" si="141"/>
        <v>119</v>
      </c>
      <c r="L67" s="86">
        <f>ROUND($Y$2*T67*U67/$U$6,0)</f>
        <v>121</v>
      </c>
      <c r="M67" s="86">
        <f t="shared" si="142"/>
        <v>0</v>
      </c>
      <c r="N67" s="87">
        <f t="shared" si="143"/>
        <v>277</v>
      </c>
      <c r="O67" s="87">
        <v>165</v>
      </c>
      <c r="P67" s="87">
        <v>112</v>
      </c>
      <c r="Q67" s="104">
        <v>0</v>
      </c>
      <c r="R67" s="104">
        <f t="shared" si="34"/>
        <v>112</v>
      </c>
      <c r="S67" s="105" t="s">
        <v>137</v>
      </c>
      <c r="T67" s="106">
        <f t="shared" si="150"/>
        <v>1.1</v>
      </c>
      <c r="U67" s="107">
        <f t="shared" si="144"/>
        <v>8603</v>
      </c>
      <c r="V67" s="108">
        <v>2921</v>
      </c>
      <c r="W67" s="108">
        <v>5682</v>
      </c>
      <c r="X67" s="109">
        <f t="shared" si="145"/>
        <v>0</v>
      </c>
      <c r="Y67" s="118">
        <v>0</v>
      </c>
      <c r="Z67" s="118">
        <v>0</v>
      </c>
      <c r="AA67" s="117">
        <v>3148</v>
      </c>
      <c r="AB67" s="108">
        <v>3061</v>
      </c>
      <c r="AC67" s="108">
        <v>281</v>
      </c>
      <c r="AD67" s="108"/>
      <c r="AE67" s="117">
        <v>5829</v>
      </c>
      <c r="AF67" s="108">
        <v>5753</v>
      </c>
      <c r="AG67" s="108">
        <v>115</v>
      </c>
      <c r="AH67" s="123">
        <f t="shared" si="146"/>
        <v>61</v>
      </c>
      <c r="AI67" s="124">
        <f t="shared" si="147"/>
        <v>36</v>
      </c>
      <c r="AJ67" s="124">
        <f t="shared" si="148"/>
        <v>15</v>
      </c>
      <c r="AK67" s="124">
        <f t="shared" si="149"/>
        <v>10</v>
      </c>
      <c r="AL67" s="125"/>
      <c r="AM67" s="125">
        <v>1008</v>
      </c>
      <c r="AO67" s="51">
        <f t="shared" si="130"/>
        <v>1.1</v>
      </c>
      <c r="AP67" s="51" t="s">
        <v>78</v>
      </c>
      <c r="AQ67" s="51" t="b">
        <f t="shared" si="88"/>
        <v>1</v>
      </c>
    </row>
    <row r="68" ht="14.25" customHeight="1" spans="1:43">
      <c r="A68" s="75" t="s">
        <v>79</v>
      </c>
      <c r="B68" s="72">
        <f t="shared" si="135"/>
        <v>7</v>
      </c>
      <c r="C68" s="72">
        <f t="shared" si="136"/>
        <v>6</v>
      </c>
      <c r="D68" s="72">
        <f t="shared" si="137"/>
        <v>1</v>
      </c>
      <c r="E68" s="72">
        <f t="shared" si="138"/>
        <v>0</v>
      </c>
      <c r="F68" s="72">
        <f t="shared" si="31"/>
        <v>1</v>
      </c>
      <c r="G68" s="73">
        <f t="shared" si="139"/>
        <v>124</v>
      </c>
      <c r="H68" s="73">
        <f>ROUND($X$2/$U$6*U68,0)</f>
        <v>4</v>
      </c>
      <c r="I68" s="86">
        <f t="shared" si="140"/>
        <v>72</v>
      </c>
      <c r="J68" s="86">
        <f>ROUND($R$2*T68*U68/$U$6,0)</f>
        <v>73</v>
      </c>
      <c r="K68" s="86">
        <f t="shared" si="141"/>
        <v>48</v>
      </c>
      <c r="L68" s="86">
        <f>ROUND($Y$2*T68*U68/$U$6,0)</f>
        <v>49</v>
      </c>
      <c r="M68" s="86">
        <f t="shared" si="142"/>
        <v>0</v>
      </c>
      <c r="N68" s="87">
        <f t="shared" si="143"/>
        <v>117</v>
      </c>
      <c r="O68" s="87">
        <v>70</v>
      </c>
      <c r="P68" s="87">
        <v>47</v>
      </c>
      <c r="Q68" s="104">
        <v>0</v>
      </c>
      <c r="R68" s="104">
        <f t="shared" si="34"/>
        <v>47</v>
      </c>
      <c r="S68" s="105" t="s">
        <v>137</v>
      </c>
      <c r="T68" s="106">
        <f t="shared" si="150"/>
        <v>1.1</v>
      </c>
      <c r="U68" s="107">
        <f t="shared" si="144"/>
        <v>3483</v>
      </c>
      <c r="V68" s="108">
        <v>1214</v>
      </c>
      <c r="W68" s="108">
        <v>2269</v>
      </c>
      <c r="X68" s="109">
        <f t="shared" si="145"/>
        <v>0</v>
      </c>
      <c r="Y68" s="118">
        <v>0</v>
      </c>
      <c r="Z68" s="118">
        <v>0</v>
      </c>
      <c r="AA68" s="117">
        <v>1523</v>
      </c>
      <c r="AB68" s="108">
        <v>1523</v>
      </c>
      <c r="AC68" s="108">
        <v>395</v>
      </c>
      <c r="AD68" s="108"/>
      <c r="AE68" s="117">
        <v>2621</v>
      </c>
      <c r="AF68" s="108">
        <v>2621</v>
      </c>
      <c r="AG68" s="108">
        <v>162</v>
      </c>
      <c r="AH68" s="123">
        <f t="shared" si="146"/>
        <v>25</v>
      </c>
      <c r="AI68" s="124">
        <f t="shared" si="147"/>
        <v>15</v>
      </c>
      <c r="AJ68" s="124">
        <f t="shared" si="148"/>
        <v>6</v>
      </c>
      <c r="AK68" s="124">
        <f t="shared" si="149"/>
        <v>4</v>
      </c>
      <c r="AL68" s="125">
        <v>238</v>
      </c>
      <c r="AM68" s="125">
        <v>113</v>
      </c>
      <c r="AO68" s="51">
        <f t="shared" si="130"/>
        <v>1.1</v>
      </c>
      <c r="AP68" s="51" t="s">
        <v>79</v>
      </c>
      <c r="AQ68" s="51" t="b">
        <f t="shared" si="88"/>
        <v>1</v>
      </c>
    </row>
    <row r="69" ht="14.25" customHeight="1" spans="1:43">
      <c r="A69" s="75" t="s">
        <v>80</v>
      </c>
      <c r="B69" s="72">
        <f t="shared" si="135"/>
        <v>24</v>
      </c>
      <c r="C69" s="72">
        <f t="shared" si="136"/>
        <v>19</v>
      </c>
      <c r="D69" s="72">
        <f t="shared" si="137"/>
        <v>5</v>
      </c>
      <c r="E69" s="72">
        <f t="shared" si="138"/>
        <v>0</v>
      </c>
      <c r="F69" s="72">
        <f t="shared" si="31"/>
        <v>5</v>
      </c>
      <c r="G69" s="73">
        <f t="shared" si="139"/>
        <v>271</v>
      </c>
      <c r="H69" s="73">
        <f>ROUND($X$2/$U$6*U69,0)</f>
        <v>8</v>
      </c>
      <c r="I69" s="86">
        <f t="shared" si="140"/>
        <v>158</v>
      </c>
      <c r="J69" s="86">
        <f>ROUND($R$2*T69*U69/$U$6,0)</f>
        <v>161</v>
      </c>
      <c r="K69" s="86">
        <f t="shared" si="141"/>
        <v>105</v>
      </c>
      <c r="L69" s="86">
        <f>ROUND($Y$2*T69*U69/$U$6,0)</f>
        <v>107</v>
      </c>
      <c r="M69" s="86">
        <f t="shared" si="142"/>
        <v>0</v>
      </c>
      <c r="N69" s="87">
        <f t="shared" si="143"/>
        <v>247</v>
      </c>
      <c r="O69" s="87">
        <v>147</v>
      </c>
      <c r="P69" s="87">
        <v>100</v>
      </c>
      <c r="Q69" s="104">
        <v>0</v>
      </c>
      <c r="R69" s="104">
        <f t="shared" si="34"/>
        <v>100</v>
      </c>
      <c r="S69" s="100" t="s">
        <v>165</v>
      </c>
      <c r="T69" s="106">
        <f t="shared" si="150"/>
        <v>1.1</v>
      </c>
      <c r="U69" s="107">
        <f t="shared" si="144"/>
        <v>7638</v>
      </c>
      <c r="V69" s="108">
        <v>2577</v>
      </c>
      <c r="W69" s="108">
        <v>5061</v>
      </c>
      <c r="X69" s="109">
        <f t="shared" si="145"/>
        <v>0</v>
      </c>
      <c r="Y69" s="118">
        <v>0</v>
      </c>
      <c r="Z69" s="118">
        <v>0</v>
      </c>
      <c r="AA69" s="117">
        <v>3096</v>
      </c>
      <c r="AB69" s="108">
        <v>3096</v>
      </c>
      <c r="AC69" s="108">
        <v>306</v>
      </c>
      <c r="AD69" s="108"/>
      <c r="AE69" s="117">
        <v>5068</v>
      </c>
      <c r="AF69" s="108">
        <v>5068</v>
      </c>
      <c r="AG69" s="108">
        <v>116</v>
      </c>
      <c r="AH69" s="123">
        <f t="shared" si="146"/>
        <v>117</v>
      </c>
      <c r="AI69" s="124">
        <f t="shared" si="147"/>
        <v>70</v>
      </c>
      <c r="AJ69" s="124">
        <f t="shared" si="148"/>
        <v>28</v>
      </c>
      <c r="AK69" s="124">
        <f t="shared" si="149"/>
        <v>19</v>
      </c>
      <c r="AL69" s="125">
        <v>196</v>
      </c>
      <c r="AM69" s="125">
        <v>1676</v>
      </c>
      <c r="AO69" s="51">
        <f t="shared" si="130"/>
        <v>1.1</v>
      </c>
      <c r="AP69" s="51" t="s">
        <v>80</v>
      </c>
      <c r="AQ69" s="51" t="b">
        <f t="shared" si="88"/>
        <v>1</v>
      </c>
    </row>
    <row r="70" ht="14.25" customHeight="1" spans="1:43">
      <c r="A70" s="76" t="s">
        <v>81</v>
      </c>
      <c r="B70" s="77">
        <f t="shared" ref="B70:K70" si="151">SUM(B71:B74)</f>
        <v>7</v>
      </c>
      <c r="C70" s="77">
        <f t="shared" si="151"/>
        <v>9</v>
      </c>
      <c r="D70" s="77">
        <f t="shared" si="151"/>
        <v>-2</v>
      </c>
      <c r="E70" s="77">
        <f t="shared" si="151"/>
        <v>66</v>
      </c>
      <c r="F70" s="77">
        <f t="shared" si="151"/>
        <v>34</v>
      </c>
      <c r="G70" s="78">
        <f t="shared" si="151"/>
        <v>328</v>
      </c>
      <c r="H70" s="78">
        <f t="shared" si="151"/>
        <v>10</v>
      </c>
      <c r="I70" s="78">
        <f t="shared" si="151"/>
        <v>191</v>
      </c>
      <c r="J70" s="78">
        <f t="shared" si="151"/>
        <v>193</v>
      </c>
      <c r="K70" s="78">
        <f t="shared" si="151"/>
        <v>127</v>
      </c>
      <c r="L70" s="78">
        <f t="shared" ref="L70:Z70" si="152">SUM(L71:L74)</f>
        <v>129</v>
      </c>
      <c r="M70" s="78">
        <f t="shared" si="152"/>
        <v>1000</v>
      </c>
      <c r="N70" s="88">
        <f t="shared" si="152"/>
        <v>321</v>
      </c>
      <c r="O70" s="88">
        <f t="shared" si="152"/>
        <v>192</v>
      </c>
      <c r="P70" s="88">
        <v>129</v>
      </c>
      <c r="Q70" s="88">
        <f t="shared" si="152"/>
        <v>934</v>
      </c>
      <c r="R70" s="104">
        <f t="shared" si="152"/>
        <v>1063</v>
      </c>
      <c r="S70" s="100">
        <f t="shared" si="152"/>
        <v>0</v>
      </c>
      <c r="T70" s="106"/>
      <c r="U70" s="110">
        <f t="shared" si="152"/>
        <v>9183</v>
      </c>
      <c r="V70" s="111">
        <f t="shared" si="152"/>
        <v>2580</v>
      </c>
      <c r="W70" s="111">
        <f t="shared" si="152"/>
        <v>6603</v>
      </c>
      <c r="X70" s="110">
        <f t="shared" si="152"/>
        <v>49125</v>
      </c>
      <c r="Y70" s="111">
        <f t="shared" si="152"/>
        <v>17864</v>
      </c>
      <c r="Z70" s="111">
        <f t="shared" si="152"/>
        <v>31261</v>
      </c>
      <c r="AA70" s="110">
        <f t="shared" ref="AA70:AC70" si="153">SUM(AA71:AA72)</f>
        <v>15732</v>
      </c>
      <c r="AB70" s="110">
        <f t="shared" si="153"/>
        <v>14873</v>
      </c>
      <c r="AC70" s="110">
        <f t="shared" si="153"/>
        <v>118</v>
      </c>
      <c r="AD70" s="110"/>
      <c r="AE70" s="110">
        <f t="shared" ref="AE70:AM70" si="154">SUM(AE71:AE72)</f>
        <v>26570</v>
      </c>
      <c r="AF70" s="110">
        <f t="shared" si="154"/>
        <v>25908</v>
      </c>
      <c r="AG70" s="110">
        <f t="shared" si="154"/>
        <v>0</v>
      </c>
      <c r="AH70" s="110">
        <f t="shared" si="154"/>
        <v>122</v>
      </c>
      <c r="AI70" s="110">
        <f t="shared" si="154"/>
        <v>73</v>
      </c>
      <c r="AJ70" s="110">
        <f t="shared" si="154"/>
        <v>29</v>
      </c>
      <c r="AK70" s="110">
        <f t="shared" si="154"/>
        <v>20</v>
      </c>
      <c r="AL70" s="110">
        <f t="shared" si="154"/>
        <v>0</v>
      </c>
      <c r="AM70" s="110">
        <f t="shared" si="154"/>
        <v>2039</v>
      </c>
      <c r="AP70" s="51" t="s">
        <v>81</v>
      </c>
      <c r="AQ70" s="51" t="b">
        <f t="shared" si="88"/>
        <v>1</v>
      </c>
    </row>
    <row r="71" ht="14.25" customHeight="1" spans="1:43">
      <c r="A71" s="71" t="s">
        <v>26</v>
      </c>
      <c r="B71" s="72">
        <f t="shared" ref="B71:B78" si="155">C71+D71</f>
        <v>-68</v>
      </c>
      <c r="C71" s="72">
        <f t="shared" ref="C71:C78" si="156">I71-O71+H71</f>
        <v>-41</v>
      </c>
      <c r="D71" s="72">
        <f t="shared" ref="D71:D78" si="157">K71-P71</f>
        <v>-27</v>
      </c>
      <c r="E71" s="72">
        <f t="shared" ref="E71:E78" si="158">M71-Q71</f>
        <v>46</v>
      </c>
      <c r="F71" s="72">
        <f t="shared" si="31"/>
        <v>19</v>
      </c>
      <c r="G71" s="73">
        <f t="shared" ref="G71:G78" si="159">I71+K71+H71</f>
        <v>0</v>
      </c>
      <c r="H71" s="73">
        <f>ROUND($X$2/$U$6*U71,0)</f>
        <v>0</v>
      </c>
      <c r="I71" s="86">
        <f t="shared" ref="I71:I78" si="160">ROUND(24000/24412*J71,0)</f>
        <v>0</v>
      </c>
      <c r="J71" s="86">
        <f>ROUND($R$2*T71*U71/$U$6,0)</f>
        <v>0</v>
      </c>
      <c r="K71" s="86">
        <f t="shared" ref="K71:K78" si="161">ROUND(16000/16274*L71,0)</f>
        <v>0</v>
      </c>
      <c r="L71" s="86">
        <f>ROUND($Y$2*T71*U71/$U$6,0)</f>
        <v>0</v>
      </c>
      <c r="M71" s="86">
        <f t="shared" ref="M71:M78" si="162">ROUND(8040*X71/$X$6,0)</f>
        <v>511</v>
      </c>
      <c r="N71" s="87">
        <f t="shared" ref="N71:N78" si="163">O71+P71</f>
        <v>68</v>
      </c>
      <c r="O71" s="87">
        <v>41</v>
      </c>
      <c r="P71" s="87">
        <v>27</v>
      </c>
      <c r="Q71" s="104">
        <v>465</v>
      </c>
      <c r="R71" s="104">
        <f t="shared" si="34"/>
        <v>492</v>
      </c>
      <c r="S71" s="105"/>
      <c r="T71" s="106">
        <f t="shared" ref="T71:T74" si="164">AO71</f>
        <v>1.1</v>
      </c>
      <c r="U71" s="107">
        <f t="shared" ref="U71:U78" si="165">V71+W71</f>
        <v>0</v>
      </c>
      <c r="V71" s="108">
        <v>0</v>
      </c>
      <c r="W71" s="108">
        <v>0</v>
      </c>
      <c r="X71" s="109">
        <f t="shared" ref="X71:X78" si="166">Y71+Z71</f>
        <v>25109</v>
      </c>
      <c r="Y71" s="108">
        <v>8614</v>
      </c>
      <c r="Z71" s="108">
        <v>16495</v>
      </c>
      <c r="AA71" s="117">
        <v>2216</v>
      </c>
      <c r="AB71" s="108">
        <v>1936</v>
      </c>
      <c r="AC71" s="108">
        <v>118</v>
      </c>
      <c r="AD71" s="108"/>
      <c r="AE71" s="117">
        <v>4035</v>
      </c>
      <c r="AF71" s="108">
        <v>3856</v>
      </c>
      <c r="AG71" s="108"/>
      <c r="AH71" s="123">
        <f t="shared" ref="AH71:AH78" si="167">AI71+AJ71+AK71</f>
        <v>43</v>
      </c>
      <c r="AI71" s="124">
        <f t="shared" ref="AI71:AI78" si="168">ROUND((AL71*800+AM71*600)*0.6/10000,0)</f>
        <v>26</v>
      </c>
      <c r="AJ71" s="124">
        <f t="shared" ref="AJ71:AJ78" si="169">ROUND((AL71*800+AM71*600)*0.24/10000,0)</f>
        <v>10</v>
      </c>
      <c r="AK71" s="124">
        <f t="shared" ref="AK71:AK78" si="170">ROUND((AL71*800+AM71*600)*0.16/10000,0)</f>
        <v>7</v>
      </c>
      <c r="AL71" s="125"/>
      <c r="AM71" s="125">
        <v>721</v>
      </c>
      <c r="AO71" s="51">
        <f t="shared" ref="AO71:AO78" si="171">IF(U71&gt;=30000,IF(U71&gt;50000,IF(U71&gt;70000,0.8,0.9),1),1.1)</f>
        <v>1.1</v>
      </c>
      <c r="AP71" s="51" t="s">
        <v>26</v>
      </c>
      <c r="AQ71" s="51" t="b">
        <f t="shared" si="88"/>
        <v>1</v>
      </c>
    </row>
    <row r="72" ht="14.25" customHeight="1" spans="1:43">
      <c r="A72" s="71" t="s">
        <v>82</v>
      </c>
      <c r="B72" s="72">
        <f t="shared" si="155"/>
        <v>-2</v>
      </c>
      <c r="C72" s="72">
        <f t="shared" si="156"/>
        <v>3</v>
      </c>
      <c r="D72" s="72">
        <f t="shared" si="157"/>
        <v>-5</v>
      </c>
      <c r="E72" s="72">
        <f t="shared" si="158"/>
        <v>20</v>
      </c>
      <c r="F72" s="72">
        <f t="shared" si="31"/>
        <v>15</v>
      </c>
      <c r="G72" s="73">
        <f t="shared" si="159"/>
        <v>251</v>
      </c>
      <c r="H72" s="73">
        <f>ROUND($X$2/$U$6*U72,0)</f>
        <v>8</v>
      </c>
      <c r="I72" s="86">
        <f t="shared" si="160"/>
        <v>146</v>
      </c>
      <c r="J72" s="86">
        <f>ROUND($R$2*T72*U72/$U$6,0)</f>
        <v>148</v>
      </c>
      <c r="K72" s="86">
        <f t="shared" si="161"/>
        <v>97</v>
      </c>
      <c r="L72" s="86">
        <f>ROUND($Y$2*T72*U72/$U$6,0)</f>
        <v>99</v>
      </c>
      <c r="M72" s="86">
        <f t="shared" si="162"/>
        <v>489</v>
      </c>
      <c r="N72" s="87">
        <f t="shared" si="163"/>
        <v>253</v>
      </c>
      <c r="O72" s="87">
        <v>151</v>
      </c>
      <c r="P72" s="87">
        <v>102</v>
      </c>
      <c r="Q72" s="104">
        <v>469</v>
      </c>
      <c r="R72" s="104">
        <f t="shared" si="34"/>
        <v>571</v>
      </c>
      <c r="S72" s="105"/>
      <c r="T72" s="106">
        <f t="shared" si="164"/>
        <v>1.1</v>
      </c>
      <c r="U72" s="107">
        <f t="shared" si="165"/>
        <v>7039</v>
      </c>
      <c r="V72" s="108">
        <v>2332</v>
      </c>
      <c r="W72" s="108">
        <v>4707</v>
      </c>
      <c r="X72" s="109">
        <f t="shared" si="166"/>
        <v>24016</v>
      </c>
      <c r="Y72" s="108">
        <v>9250</v>
      </c>
      <c r="Z72" s="108">
        <v>14766</v>
      </c>
      <c r="AA72" s="117">
        <v>13516</v>
      </c>
      <c r="AB72" s="108">
        <v>12937</v>
      </c>
      <c r="AC72" s="108"/>
      <c r="AD72" s="108"/>
      <c r="AE72" s="117">
        <v>22535</v>
      </c>
      <c r="AF72" s="108">
        <v>22052</v>
      </c>
      <c r="AG72" s="108"/>
      <c r="AH72" s="123">
        <f t="shared" si="167"/>
        <v>79</v>
      </c>
      <c r="AI72" s="124">
        <f t="shared" si="168"/>
        <v>47</v>
      </c>
      <c r="AJ72" s="124">
        <f t="shared" si="169"/>
        <v>19</v>
      </c>
      <c r="AK72" s="124">
        <f t="shared" si="170"/>
        <v>13</v>
      </c>
      <c r="AL72" s="125"/>
      <c r="AM72" s="125">
        <v>1318</v>
      </c>
      <c r="AO72" s="51">
        <f t="shared" si="171"/>
        <v>1.1</v>
      </c>
      <c r="AP72" s="51" t="s">
        <v>82</v>
      </c>
      <c r="AQ72" s="51" t="b">
        <f t="shared" si="88"/>
        <v>1</v>
      </c>
    </row>
    <row r="73" ht="14.25" customHeight="1" spans="1:43">
      <c r="A73" s="71" t="s">
        <v>33</v>
      </c>
      <c r="B73" s="72">
        <f t="shared" si="155"/>
        <v>46</v>
      </c>
      <c r="C73" s="72">
        <f t="shared" si="156"/>
        <v>28</v>
      </c>
      <c r="D73" s="72">
        <f t="shared" si="157"/>
        <v>18</v>
      </c>
      <c r="E73" s="72">
        <f t="shared" si="158"/>
        <v>0</v>
      </c>
      <c r="F73" s="72"/>
      <c r="G73" s="73">
        <f t="shared" si="159"/>
        <v>46</v>
      </c>
      <c r="H73" s="73">
        <f>ROUND($X$2/$U$6*U73,0)</f>
        <v>1</v>
      </c>
      <c r="I73" s="86">
        <f t="shared" si="160"/>
        <v>27</v>
      </c>
      <c r="J73" s="86">
        <f>ROUND($R$2*T73*U73/$U$6,0)</f>
        <v>27</v>
      </c>
      <c r="K73" s="86">
        <f t="shared" si="161"/>
        <v>18</v>
      </c>
      <c r="L73" s="86">
        <f>ROUND($Y$2*T73*U73/$U$6,0)</f>
        <v>18</v>
      </c>
      <c r="M73" s="86"/>
      <c r="N73" s="87"/>
      <c r="O73" s="87"/>
      <c r="P73" s="87"/>
      <c r="Q73" s="104"/>
      <c r="R73" s="104"/>
      <c r="S73" s="105"/>
      <c r="T73" s="106">
        <f t="shared" si="164"/>
        <v>1.1</v>
      </c>
      <c r="U73" s="107">
        <f t="shared" si="165"/>
        <v>1276</v>
      </c>
      <c r="V73" s="108">
        <v>0</v>
      </c>
      <c r="W73" s="108">
        <v>1276</v>
      </c>
      <c r="X73" s="109"/>
      <c r="Y73" s="118"/>
      <c r="Z73" s="118"/>
      <c r="AA73" s="117"/>
      <c r="AB73" s="108"/>
      <c r="AC73" s="108"/>
      <c r="AD73" s="108"/>
      <c r="AE73" s="117"/>
      <c r="AF73" s="108"/>
      <c r="AG73" s="108"/>
      <c r="AH73" s="123"/>
      <c r="AI73" s="124"/>
      <c r="AJ73" s="124"/>
      <c r="AK73" s="124"/>
      <c r="AL73" s="125"/>
      <c r="AM73" s="125"/>
      <c r="AO73" s="51">
        <f t="shared" si="171"/>
        <v>1.1</v>
      </c>
      <c r="AP73" s="51" t="s">
        <v>166</v>
      </c>
      <c r="AQ73" s="51" t="b">
        <f t="shared" ref="AQ73:AQ99" si="172">AP73=A73</f>
        <v>0</v>
      </c>
    </row>
    <row r="74" ht="14.25" customHeight="1" spans="1:43">
      <c r="A74" s="71" t="s">
        <v>83</v>
      </c>
      <c r="B74" s="72">
        <f t="shared" si="155"/>
        <v>31</v>
      </c>
      <c r="C74" s="72">
        <f t="shared" si="156"/>
        <v>19</v>
      </c>
      <c r="D74" s="72">
        <f t="shared" si="157"/>
        <v>12</v>
      </c>
      <c r="E74" s="72">
        <f t="shared" si="158"/>
        <v>0</v>
      </c>
      <c r="F74" s="72"/>
      <c r="G74" s="73">
        <f t="shared" si="159"/>
        <v>31</v>
      </c>
      <c r="H74" s="73">
        <f>ROUND($X$2/$U$6*U74,0)</f>
        <v>1</v>
      </c>
      <c r="I74" s="86">
        <f t="shared" si="160"/>
        <v>18</v>
      </c>
      <c r="J74" s="86">
        <f>ROUND($R$2*T74*U74/$U$6,0)</f>
        <v>18</v>
      </c>
      <c r="K74" s="86">
        <f t="shared" si="161"/>
        <v>12</v>
      </c>
      <c r="L74" s="86">
        <f>ROUND($Y$2*T74*U74/$U$6,0)</f>
        <v>12</v>
      </c>
      <c r="M74" s="86"/>
      <c r="N74" s="87"/>
      <c r="O74" s="87"/>
      <c r="P74" s="87"/>
      <c r="Q74" s="104"/>
      <c r="R74" s="104"/>
      <c r="S74" s="105"/>
      <c r="T74" s="106">
        <f t="shared" si="164"/>
        <v>1.1</v>
      </c>
      <c r="U74" s="107">
        <f t="shared" si="165"/>
        <v>868</v>
      </c>
      <c r="V74" s="108">
        <v>248</v>
      </c>
      <c r="W74" s="108">
        <v>620</v>
      </c>
      <c r="X74" s="109"/>
      <c r="Y74" s="118"/>
      <c r="Z74" s="118"/>
      <c r="AA74" s="117"/>
      <c r="AB74" s="108"/>
      <c r="AC74" s="108"/>
      <c r="AD74" s="108"/>
      <c r="AE74" s="117"/>
      <c r="AF74" s="108"/>
      <c r="AG74" s="108"/>
      <c r="AH74" s="123"/>
      <c r="AI74" s="124"/>
      <c r="AJ74" s="124"/>
      <c r="AK74" s="124"/>
      <c r="AL74" s="125"/>
      <c r="AM74" s="125"/>
      <c r="AO74" s="51">
        <f t="shared" si="171"/>
        <v>1.1</v>
      </c>
      <c r="AP74" s="51" t="s">
        <v>167</v>
      </c>
      <c r="AQ74" s="51" t="b">
        <f t="shared" si="172"/>
        <v>0</v>
      </c>
    </row>
    <row r="75" ht="14.25" customHeight="1" spans="1:43">
      <c r="A75" s="75" t="s">
        <v>84</v>
      </c>
      <c r="B75" s="72">
        <f t="shared" si="155"/>
        <v>54</v>
      </c>
      <c r="C75" s="72">
        <f t="shared" si="156"/>
        <v>55</v>
      </c>
      <c r="D75" s="72">
        <f t="shared" si="157"/>
        <v>-1</v>
      </c>
      <c r="E75" s="72">
        <f t="shared" si="158"/>
        <v>0</v>
      </c>
      <c r="F75" s="72">
        <f t="shared" ref="F75:F99" si="173">D75+E75</f>
        <v>-1</v>
      </c>
      <c r="G75" s="73">
        <f t="shared" si="159"/>
        <v>1354</v>
      </c>
      <c r="H75" s="73">
        <f>ROUND($X$2/$U$6*U75,0)</f>
        <v>45</v>
      </c>
      <c r="I75" s="86">
        <f t="shared" si="160"/>
        <v>786</v>
      </c>
      <c r="J75" s="86">
        <f>ROUND($R$2*T75*U75/$U$6,0)</f>
        <v>799</v>
      </c>
      <c r="K75" s="86">
        <f t="shared" si="161"/>
        <v>523</v>
      </c>
      <c r="L75" s="86">
        <f>ROUND($Y$2*T75*U75/$U$6,0)</f>
        <v>532</v>
      </c>
      <c r="M75" s="86">
        <f t="shared" si="162"/>
        <v>0</v>
      </c>
      <c r="N75" s="87">
        <f t="shared" si="163"/>
        <v>1300</v>
      </c>
      <c r="O75" s="87">
        <v>776</v>
      </c>
      <c r="P75" s="87">
        <v>524</v>
      </c>
      <c r="Q75" s="104">
        <v>0</v>
      </c>
      <c r="R75" s="104">
        <f t="shared" ref="R75:R99" si="174">Q75+P75</f>
        <v>524</v>
      </c>
      <c r="S75" s="100" t="s">
        <v>165</v>
      </c>
      <c r="T75" s="106">
        <f t="shared" ref="T75:T80" si="175">AO75</f>
        <v>1</v>
      </c>
      <c r="U75" s="107">
        <f t="shared" si="165"/>
        <v>41746</v>
      </c>
      <c r="V75" s="108">
        <v>16171</v>
      </c>
      <c r="W75" s="108">
        <v>25575</v>
      </c>
      <c r="X75" s="109">
        <f t="shared" si="166"/>
        <v>0</v>
      </c>
      <c r="Y75" s="118"/>
      <c r="Z75" s="118"/>
      <c r="AA75" s="117">
        <v>17314</v>
      </c>
      <c r="AB75" s="108">
        <v>16773</v>
      </c>
      <c r="AC75" s="108">
        <v>3148</v>
      </c>
      <c r="AD75" s="108"/>
      <c r="AE75" s="117">
        <v>31367</v>
      </c>
      <c r="AF75" s="108">
        <v>31077</v>
      </c>
      <c r="AG75" s="108"/>
      <c r="AH75" s="123">
        <f t="shared" si="167"/>
        <v>287</v>
      </c>
      <c r="AI75" s="124">
        <f t="shared" si="168"/>
        <v>172</v>
      </c>
      <c r="AJ75" s="124">
        <f t="shared" si="169"/>
        <v>69</v>
      </c>
      <c r="AK75" s="124">
        <f t="shared" si="170"/>
        <v>46</v>
      </c>
      <c r="AL75" s="125"/>
      <c r="AM75" s="125">
        <v>4789</v>
      </c>
      <c r="AO75" s="51">
        <f t="shared" si="171"/>
        <v>1</v>
      </c>
      <c r="AP75" s="51" t="s">
        <v>84</v>
      </c>
      <c r="AQ75" s="51" t="b">
        <f t="shared" si="172"/>
        <v>1</v>
      </c>
    </row>
    <row r="76" ht="14.25" customHeight="1" spans="1:43">
      <c r="A76" s="75" t="s">
        <v>85</v>
      </c>
      <c r="B76" s="72">
        <f t="shared" si="155"/>
        <v>108</v>
      </c>
      <c r="C76" s="72">
        <f t="shared" si="156"/>
        <v>89</v>
      </c>
      <c r="D76" s="72">
        <f t="shared" si="157"/>
        <v>19</v>
      </c>
      <c r="E76" s="72">
        <f t="shared" si="158"/>
        <v>0</v>
      </c>
      <c r="F76" s="72">
        <f t="shared" si="173"/>
        <v>19</v>
      </c>
      <c r="G76" s="73">
        <f t="shared" si="159"/>
        <v>1535</v>
      </c>
      <c r="H76" s="73">
        <f>ROUND($X$2/$U$6*U76,0)</f>
        <v>51</v>
      </c>
      <c r="I76" s="86">
        <f t="shared" si="160"/>
        <v>890</v>
      </c>
      <c r="J76" s="86">
        <f>ROUND($R$2*T76*U76/$U$6,0)</f>
        <v>905</v>
      </c>
      <c r="K76" s="86">
        <f t="shared" si="161"/>
        <v>594</v>
      </c>
      <c r="L76" s="86">
        <f>ROUND($Y$2*T76*U76/$U$6,0)</f>
        <v>604</v>
      </c>
      <c r="M76" s="86">
        <f t="shared" si="162"/>
        <v>0</v>
      </c>
      <c r="N76" s="87">
        <f t="shared" si="163"/>
        <v>1427</v>
      </c>
      <c r="O76" s="87">
        <v>852</v>
      </c>
      <c r="P76" s="87">
        <v>575</v>
      </c>
      <c r="Q76" s="104">
        <v>0</v>
      </c>
      <c r="R76" s="104">
        <f t="shared" si="174"/>
        <v>575</v>
      </c>
      <c r="S76" s="105" t="s">
        <v>137</v>
      </c>
      <c r="T76" s="106">
        <f t="shared" si="175"/>
        <v>1</v>
      </c>
      <c r="U76" s="107">
        <f t="shared" si="165"/>
        <v>47322</v>
      </c>
      <c r="V76" s="108">
        <v>17782</v>
      </c>
      <c r="W76" s="108">
        <v>29540</v>
      </c>
      <c r="X76" s="109">
        <f t="shared" si="166"/>
        <v>0</v>
      </c>
      <c r="Y76" s="118"/>
      <c r="Z76" s="118"/>
      <c r="AA76" s="117">
        <v>16324</v>
      </c>
      <c r="AB76" s="108">
        <v>16175</v>
      </c>
      <c r="AC76" s="108">
        <v>9800</v>
      </c>
      <c r="AD76" s="108"/>
      <c r="AE76" s="117">
        <v>35261</v>
      </c>
      <c r="AF76" s="108">
        <v>35087</v>
      </c>
      <c r="AG76" s="108">
        <v>83</v>
      </c>
      <c r="AH76" s="123">
        <f t="shared" si="167"/>
        <v>230</v>
      </c>
      <c r="AI76" s="124">
        <f t="shared" si="168"/>
        <v>138</v>
      </c>
      <c r="AJ76" s="124">
        <f t="shared" si="169"/>
        <v>55</v>
      </c>
      <c r="AK76" s="124">
        <f t="shared" si="170"/>
        <v>37</v>
      </c>
      <c r="AL76" s="125"/>
      <c r="AM76" s="125">
        <v>3844</v>
      </c>
      <c r="AO76" s="51">
        <f t="shared" si="171"/>
        <v>1</v>
      </c>
      <c r="AP76" s="51" t="s">
        <v>85</v>
      </c>
      <c r="AQ76" s="51" t="b">
        <f t="shared" si="172"/>
        <v>1</v>
      </c>
    </row>
    <row r="77" ht="14.25" customHeight="1" spans="1:43">
      <c r="A77" s="75" t="s">
        <v>86</v>
      </c>
      <c r="B77" s="72">
        <f t="shared" si="155"/>
        <v>34</v>
      </c>
      <c r="C77" s="72">
        <f t="shared" si="156"/>
        <v>29</v>
      </c>
      <c r="D77" s="72">
        <f t="shared" si="157"/>
        <v>5</v>
      </c>
      <c r="E77" s="72">
        <f t="shared" si="158"/>
        <v>0</v>
      </c>
      <c r="F77" s="72">
        <f t="shared" si="173"/>
        <v>5</v>
      </c>
      <c r="G77" s="73">
        <f t="shared" si="159"/>
        <v>557</v>
      </c>
      <c r="H77" s="73">
        <f>ROUND($X$2/$U$6*U77,0)</f>
        <v>17</v>
      </c>
      <c r="I77" s="86">
        <f t="shared" si="160"/>
        <v>324</v>
      </c>
      <c r="J77" s="86">
        <f>ROUND($R$2*T77*U77/$U$6,0)</f>
        <v>330</v>
      </c>
      <c r="K77" s="86">
        <f t="shared" si="161"/>
        <v>216</v>
      </c>
      <c r="L77" s="86">
        <f>ROUND($Y$2*T77*U77/$U$6,0)</f>
        <v>220</v>
      </c>
      <c r="M77" s="86">
        <f t="shared" si="162"/>
        <v>0</v>
      </c>
      <c r="N77" s="87">
        <f t="shared" si="163"/>
        <v>523</v>
      </c>
      <c r="O77" s="87">
        <v>312</v>
      </c>
      <c r="P77" s="87">
        <v>211</v>
      </c>
      <c r="Q77" s="104">
        <v>0</v>
      </c>
      <c r="R77" s="104">
        <f t="shared" si="174"/>
        <v>211</v>
      </c>
      <c r="S77" s="100" t="s">
        <v>165</v>
      </c>
      <c r="T77" s="106">
        <f t="shared" si="175"/>
        <v>1.1</v>
      </c>
      <c r="U77" s="107">
        <f t="shared" si="165"/>
        <v>15667</v>
      </c>
      <c r="V77" s="108">
        <v>5494</v>
      </c>
      <c r="W77" s="108">
        <v>10173</v>
      </c>
      <c r="X77" s="109">
        <f t="shared" si="166"/>
        <v>0</v>
      </c>
      <c r="Y77" s="118"/>
      <c r="Z77" s="118"/>
      <c r="AA77" s="117">
        <v>6036</v>
      </c>
      <c r="AB77" s="108">
        <v>6036</v>
      </c>
      <c r="AC77" s="108"/>
      <c r="AD77" s="108"/>
      <c r="AE77" s="117">
        <v>11631</v>
      </c>
      <c r="AF77" s="108">
        <v>11631</v>
      </c>
      <c r="AG77" s="108"/>
      <c r="AH77" s="123">
        <f t="shared" si="167"/>
        <v>68</v>
      </c>
      <c r="AI77" s="124">
        <f t="shared" si="168"/>
        <v>41</v>
      </c>
      <c r="AJ77" s="124">
        <f t="shared" si="169"/>
        <v>16</v>
      </c>
      <c r="AK77" s="124">
        <f t="shared" si="170"/>
        <v>11</v>
      </c>
      <c r="AL77" s="125"/>
      <c r="AM77" s="125">
        <v>1127</v>
      </c>
      <c r="AO77" s="51">
        <f t="shared" si="171"/>
        <v>1.1</v>
      </c>
      <c r="AP77" s="51" t="s">
        <v>86</v>
      </c>
      <c r="AQ77" s="51" t="b">
        <f t="shared" si="172"/>
        <v>1</v>
      </c>
    </row>
    <row r="78" ht="14.25" customHeight="1" spans="1:43">
      <c r="A78" s="75" t="s">
        <v>87</v>
      </c>
      <c r="B78" s="72">
        <f t="shared" si="155"/>
        <v>42</v>
      </c>
      <c r="C78" s="72">
        <f t="shared" si="156"/>
        <v>44</v>
      </c>
      <c r="D78" s="72">
        <f t="shared" si="157"/>
        <v>-2</v>
      </c>
      <c r="E78" s="72">
        <f t="shared" si="158"/>
        <v>0</v>
      </c>
      <c r="F78" s="72">
        <f t="shared" si="173"/>
        <v>-2</v>
      </c>
      <c r="G78" s="73">
        <f t="shared" si="159"/>
        <v>1156</v>
      </c>
      <c r="H78" s="73">
        <f>ROUND($X$2/$U$6*U78,0)</f>
        <v>38</v>
      </c>
      <c r="I78" s="86">
        <f t="shared" si="160"/>
        <v>671</v>
      </c>
      <c r="J78" s="86">
        <f>ROUND($R$2*T78*U78/$U$6,0)</f>
        <v>683</v>
      </c>
      <c r="K78" s="86">
        <f t="shared" si="161"/>
        <v>447</v>
      </c>
      <c r="L78" s="86">
        <f>ROUND($Y$2*T78*U78/$U$6,0)</f>
        <v>455</v>
      </c>
      <c r="M78" s="86">
        <f t="shared" si="162"/>
        <v>0</v>
      </c>
      <c r="N78" s="87">
        <f t="shared" si="163"/>
        <v>1114</v>
      </c>
      <c r="O78" s="87">
        <v>665</v>
      </c>
      <c r="P78" s="87">
        <v>449</v>
      </c>
      <c r="Q78" s="104">
        <v>0</v>
      </c>
      <c r="R78" s="104">
        <f t="shared" si="174"/>
        <v>449</v>
      </c>
      <c r="S78" s="100" t="s">
        <v>165</v>
      </c>
      <c r="T78" s="106">
        <f t="shared" si="175"/>
        <v>1</v>
      </c>
      <c r="U78" s="107">
        <f t="shared" si="165"/>
        <v>35698</v>
      </c>
      <c r="V78" s="108">
        <v>11600</v>
      </c>
      <c r="W78" s="108">
        <v>24098</v>
      </c>
      <c r="X78" s="109">
        <f t="shared" si="166"/>
        <v>0</v>
      </c>
      <c r="Y78" s="118"/>
      <c r="Z78" s="118"/>
      <c r="AA78" s="117">
        <v>16498</v>
      </c>
      <c r="AB78" s="108">
        <v>13452</v>
      </c>
      <c r="AC78" s="108">
        <v>2897</v>
      </c>
      <c r="AD78" s="108"/>
      <c r="AE78" s="117">
        <v>31590</v>
      </c>
      <c r="AF78" s="108">
        <v>29852</v>
      </c>
      <c r="AG78" s="108">
        <v>240</v>
      </c>
      <c r="AH78" s="123">
        <f t="shared" si="167"/>
        <v>487</v>
      </c>
      <c r="AI78" s="124">
        <f t="shared" si="168"/>
        <v>292</v>
      </c>
      <c r="AJ78" s="124">
        <f t="shared" si="169"/>
        <v>117</v>
      </c>
      <c r="AK78" s="124">
        <f t="shared" si="170"/>
        <v>78</v>
      </c>
      <c r="AL78" s="125"/>
      <c r="AM78" s="125">
        <v>8098</v>
      </c>
      <c r="AO78" s="51">
        <f t="shared" si="171"/>
        <v>1</v>
      </c>
      <c r="AP78" s="51" t="s">
        <v>87</v>
      </c>
      <c r="AQ78" s="51" t="b">
        <f t="shared" si="172"/>
        <v>1</v>
      </c>
    </row>
    <row r="79" ht="14.25" customHeight="1" spans="1:43">
      <c r="A79" s="76" t="s">
        <v>88</v>
      </c>
      <c r="B79" s="77">
        <f>SUM(B80:B81)</f>
        <v>-3</v>
      </c>
      <c r="C79" s="77">
        <f t="shared" ref="C79:K79" si="176">SUM(C80:C81)</f>
        <v>2</v>
      </c>
      <c r="D79" s="77">
        <f t="shared" si="176"/>
        <v>-5</v>
      </c>
      <c r="E79" s="77">
        <f t="shared" si="176"/>
        <v>29</v>
      </c>
      <c r="F79" s="77">
        <f t="shared" si="176"/>
        <v>24</v>
      </c>
      <c r="G79" s="78">
        <f t="shared" si="176"/>
        <v>227</v>
      </c>
      <c r="H79" s="78">
        <f t="shared" si="176"/>
        <v>7</v>
      </c>
      <c r="I79" s="78">
        <f t="shared" si="176"/>
        <v>132</v>
      </c>
      <c r="J79" s="78">
        <f t="shared" si="176"/>
        <v>134</v>
      </c>
      <c r="K79" s="78">
        <f t="shared" si="176"/>
        <v>88</v>
      </c>
      <c r="L79" s="78">
        <f t="shared" ref="L79:Q79" si="177">SUM(L80:L81)</f>
        <v>89</v>
      </c>
      <c r="M79" s="78">
        <f t="shared" si="177"/>
        <v>468</v>
      </c>
      <c r="N79" s="88">
        <f t="shared" si="177"/>
        <v>230</v>
      </c>
      <c r="O79" s="88">
        <v>137</v>
      </c>
      <c r="P79" s="88">
        <v>93</v>
      </c>
      <c r="Q79" s="88">
        <v>439</v>
      </c>
      <c r="R79" s="104">
        <f t="shared" si="174"/>
        <v>532</v>
      </c>
      <c r="S79" s="105" t="s">
        <v>137</v>
      </c>
      <c r="T79" s="106"/>
      <c r="U79" s="110">
        <f t="shared" ref="U79:AC79" si="178">SUM(U80:U81)</f>
        <v>6355</v>
      </c>
      <c r="V79" s="111">
        <f t="shared" si="178"/>
        <v>2147</v>
      </c>
      <c r="W79" s="111">
        <f t="shared" si="178"/>
        <v>4208</v>
      </c>
      <c r="X79" s="110">
        <f t="shared" si="178"/>
        <v>22956</v>
      </c>
      <c r="Y79" s="111">
        <f t="shared" si="178"/>
        <v>7187</v>
      </c>
      <c r="Z79" s="111">
        <f t="shared" si="178"/>
        <v>15769</v>
      </c>
      <c r="AA79" s="110">
        <f t="shared" si="178"/>
        <v>13152</v>
      </c>
      <c r="AB79" s="110">
        <f t="shared" si="178"/>
        <v>9687</v>
      </c>
      <c r="AC79" s="110">
        <f t="shared" si="178"/>
        <v>2022</v>
      </c>
      <c r="AD79" s="110"/>
      <c r="AE79" s="110">
        <f t="shared" ref="AE79:AM79" si="179">SUM(AE80:AE81)</f>
        <v>22950</v>
      </c>
      <c r="AF79" s="110">
        <f t="shared" si="179"/>
        <v>22269</v>
      </c>
      <c r="AG79" s="110">
        <f t="shared" si="179"/>
        <v>1085</v>
      </c>
      <c r="AH79" s="110">
        <f t="shared" si="179"/>
        <v>88</v>
      </c>
      <c r="AI79" s="110">
        <f t="shared" si="179"/>
        <v>53</v>
      </c>
      <c r="AJ79" s="110">
        <f t="shared" si="179"/>
        <v>21</v>
      </c>
      <c r="AK79" s="110">
        <f t="shared" si="179"/>
        <v>14</v>
      </c>
      <c r="AL79" s="110">
        <f t="shared" si="179"/>
        <v>105</v>
      </c>
      <c r="AM79" s="110">
        <f t="shared" si="179"/>
        <v>1328</v>
      </c>
      <c r="AP79" s="51" t="s">
        <v>88</v>
      </c>
      <c r="AQ79" s="51" t="b">
        <f t="shared" si="172"/>
        <v>1</v>
      </c>
    </row>
    <row r="80" ht="14.25" customHeight="1" spans="1:43">
      <c r="A80" s="71" t="s">
        <v>26</v>
      </c>
      <c r="B80" s="72">
        <f t="shared" ref="B80:B85" si="180">C80+D80</f>
        <v>0</v>
      </c>
      <c r="C80" s="72">
        <f t="shared" ref="C80:C85" si="181">I80-O80+H80</f>
        <v>0</v>
      </c>
      <c r="D80" s="72">
        <f t="shared" ref="D80:D85" si="182">K80-P80</f>
        <v>0</v>
      </c>
      <c r="E80" s="72">
        <f t="shared" ref="E80:E85" si="183">M80-Q80</f>
        <v>0</v>
      </c>
      <c r="F80" s="72">
        <f t="shared" si="173"/>
        <v>0</v>
      </c>
      <c r="G80" s="73">
        <f t="shared" ref="G80:G85" si="184">I80+K80+H80</f>
        <v>0</v>
      </c>
      <c r="H80" s="73">
        <f>ROUND($X$2/$U$6*U80,0)</f>
        <v>0</v>
      </c>
      <c r="I80" s="86">
        <f t="shared" ref="I80:I85" si="185">ROUND(24000/24412*J80,0)</f>
        <v>0</v>
      </c>
      <c r="J80" s="86">
        <f>ROUND($R$2*T80*U80/$U$6,0)</f>
        <v>0</v>
      </c>
      <c r="K80" s="86">
        <f t="shared" ref="K80:K85" si="186">ROUND(16000/16274*L80,0)</f>
        <v>0</v>
      </c>
      <c r="L80" s="86">
        <f>ROUND($Y$2*T80*U80/$U$6,0)</f>
        <v>0</v>
      </c>
      <c r="M80" s="86">
        <f t="shared" ref="M80:M85" si="187">ROUND(8040*X80/$X$6,0)</f>
        <v>0</v>
      </c>
      <c r="N80" s="87">
        <f t="shared" ref="N80:N85" si="188">O80+P80</f>
        <v>0</v>
      </c>
      <c r="O80" s="87">
        <v>0</v>
      </c>
      <c r="P80" s="87">
        <v>0</v>
      </c>
      <c r="Q80" s="104">
        <v>0</v>
      </c>
      <c r="R80" s="104">
        <f t="shared" si="174"/>
        <v>0</v>
      </c>
      <c r="S80" s="105"/>
      <c r="T80" s="106">
        <f t="shared" si="175"/>
        <v>1.1</v>
      </c>
      <c r="U80" s="107">
        <f t="shared" ref="U80:U85" si="189">V80+W80</f>
        <v>0</v>
      </c>
      <c r="V80" s="108">
        <v>0</v>
      </c>
      <c r="W80" s="108">
        <v>0</v>
      </c>
      <c r="X80" s="109">
        <f t="shared" ref="X80:X85" si="190">Y80+Z80</f>
        <v>0</v>
      </c>
      <c r="Y80" s="118">
        <v>0</v>
      </c>
      <c r="Z80" s="118">
        <v>0</v>
      </c>
      <c r="AA80" s="117">
        <v>3465</v>
      </c>
      <c r="AB80" s="108">
        <v>0</v>
      </c>
      <c r="AC80" s="108"/>
      <c r="AD80" s="108"/>
      <c r="AE80" s="117">
        <v>681</v>
      </c>
      <c r="AF80" s="108">
        <v>0</v>
      </c>
      <c r="AG80" s="108"/>
      <c r="AH80" s="123">
        <f t="shared" ref="AH80:AH85" si="191">AI80+AJ80+AK80</f>
        <v>0</v>
      </c>
      <c r="AI80" s="124">
        <f t="shared" ref="AI80:AI85" si="192">ROUND((AL80*800+AM80*600)*0.6/10000,0)</f>
        <v>0</v>
      </c>
      <c r="AJ80" s="124">
        <f t="shared" ref="AJ80:AJ85" si="193">ROUND((AL80*800+AM80*600)*0.24/10000,0)</f>
        <v>0</v>
      </c>
      <c r="AK80" s="124">
        <f t="shared" ref="AK80:AK85" si="194">ROUND((AL80*800+AM80*600)*0.16/10000,0)</f>
        <v>0</v>
      </c>
      <c r="AL80" s="125"/>
      <c r="AM80" s="125"/>
      <c r="AO80" s="51">
        <f t="shared" ref="AO80:AO85" si="195">IF(U80&gt;=30000,IF(U80&gt;50000,IF(U80&gt;70000,0.8,0.9),1),1.1)</f>
        <v>1.1</v>
      </c>
      <c r="AP80" s="51" t="s">
        <v>26</v>
      </c>
      <c r="AQ80" s="51" t="b">
        <f t="shared" si="172"/>
        <v>1</v>
      </c>
    </row>
    <row r="81" ht="14.25" customHeight="1" spans="1:43">
      <c r="A81" s="71" t="s">
        <v>89</v>
      </c>
      <c r="B81" s="72">
        <f t="shared" si="180"/>
        <v>-3</v>
      </c>
      <c r="C81" s="72">
        <f t="shared" si="181"/>
        <v>2</v>
      </c>
      <c r="D81" s="72">
        <f t="shared" si="182"/>
        <v>-5</v>
      </c>
      <c r="E81" s="72">
        <f t="shared" si="183"/>
        <v>29</v>
      </c>
      <c r="F81" s="72">
        <f t="shared" si="173"/>
        <v>24</v>
      </c>
      <c r="G81" s="73">
        <f t="shared" si="184"/>
        <v>227</v>
      </c>
      <c r="H81" s="73">
        <f>ROUND($X$2/$U$6*U81,0)</f>
        <v>7</v>
      </c>
      <c r="I81" s="86">
        <f t="shared" si="185"/>
        <v>132</v>
      </c>
      <c r="J81" s="86">
        <f>ROUND($R$2*T81*U81/$U$6,0)</f>
        <v>134</v>
      </c>
      <c r="K81" s="86">
        <f t="shared" si="186"/>
        <v>88</v>
      </c>
      <c r="L81" s="86">
        <f>ROUND($Y$2*T81*U81/$U$6,0)</f>
        <v>89</v>
      </c>
      <c r="M81" s="86">
        <f>ROUND(8040*X81/$X$6,0)+1</f>
        <v>468</v>
      </c>
      <c r="N81" s="87">
        <f t="shared" si="188"/>
        <v>230</v>
      </c>
      <c r="O81" s="87">
        <v>137</v>
      </c>
      <c r="P81" s="87">
        <v>93</v>
      </c>
      <c r="Q81" s="104">
        <v>439</v>
      </c>
      <c r="R81" s="104">
        <f t="shared" si="174"/>
        <v>532</v>
      </c>
      <c r="S81" s="105"/>
      <c r="T81" s="106">
        <f t="shared" ref="T81:T85" si="196">AO81</f>
        <v>1.1</v>
      </c>
      <c r="U81" s="107">
        <f t="shared" si="189"/>
        <v>6355</v>
      </c>
      <c r="V81" s="108">
        <v>2147</v>
      </c>
      <c r="W81" s="108">
        <v>4208</v>
      </c>
      <c r="X81" s="109">
        <f t="shared" si="190"/>
        <v>22956</v>
      </c>
      <c r="Y81" s="108">
        <v>7187</v>
      </c>
      <c r="Z81" s="108">
        <v>15769</v>
      </c>
      <c r="AA81" s="117">
        <v>9687</v>
      </c>
      <c r="AB81" s="108">
        <v>9687</v>
      </c>
      <c r="AC81" s="108">
        <v>2022</v>
      </c>
      <c r="AD81" s="108"/>
      <c r="AE81" s="117">
        <v>22269</v>
      </c>
      <c r="AF81" s="108">
        <v>22269</v>
      </c>
      <c r="AG81" s="108">
        <v>1085</v>
      </c>
      <c r="AH81" s="123">
        <f t="shared" si="191"/>
        <v>88</v>
      </c>
      <c r="AI81" s="124">
        <f t="shared" si="192"/>
        <v>53</v>
      </c>
      <c r="AJ81" s="124">
        <f t="shared" si="193"/>
        <v>21</v>
      </c>
      <c r="AK81" s="124">
        <f t="shared" si="194"/>
        <v>14</v>
      </c>
      <c r="AL81" s="125">
        <v>105</v>
      </c>
      <c r="AM81" s="125">
        <v>1328</v>
      </c>
      <c r="AO81" s="51">
        <f t="shared" si="195"/>
        <v>1.1</v>
      </c>
      <c r="AP81" s="51" t="s">
        <v>89</v>
      </c>
      <c r="AQ81" s="51" t="b">
        <f t="shared" si="172"/>
        <v>1</v>
      </c>
    </row>
    <row r="82" ht="14.25" customHeight="1" spans="1:43">
      <c r="A82" s="75" t="s">
        <v>90</v>
      </c>
      <c r="B82" s="72">
        <f t="shared" si="180"/>
        <v>34</v>
      </c>
      <c r="C82" s="72">
        <f t="shared" si="181"/>
        <v>29</v>
      </c>
      <c r="D82" s="72">
        <f t="shared" si="182"/>
        <v>5</v>
      </c>
      <c r="E82" s="72">
        <f t="shared" si="183"/>
        <v>0</v>
      </c>
      <c r="F82" s="72">
        <f t="shared" si="173"/>
        <v>5</v>
      </c>
      <c r="G82" s="73">
        <f t="shared" si="184"/>
        <v>568</v>
      </c>
      <c r="H82" s="73">
        <f>ROUND($X$2/$U$6*U82,0)</f>
        <v>17</v>
      </c>
      <c r="I82" s="86">
        <f t="shared" si="185"/>
        <v>331</v>
      </c>
      <c r="J82" s="86">
        <f>ROUND($R$2*T82*U82/$U$6,0)</f>
        <v>337</v>
      </c>
      <c r="K82" s="86">
        <f t="shared" si="186"/>
        <v>220</v>
      </c>
      <c r="L82" s="86">
        <f>ROUND($Y$2*T82*U82/$U$6,0)</f>
        <v>224</v>
      </c>
      <c r="M82" s="86">
        <f t="shared" si="187"/>
        <v>0</v>
      </c>
      <c r="N82" s="87">
        <f t="shared" si="188"/>
        <v>534</v>
      </c>
      <c r="O82" s="87">
        <v>319</v>
      </c>
      <c r="P82" s="87">
        <v>215</v>
      </c>
      <c r="Q82" s="104">
        <v>0</v>
      </c>
      <c r="R82" s="104">
        <f t="shared" si="174"/>
        <v>215</v>
      </c>
      <c r="S82" s="105" t="s">
        <v>137</v>
      </c>
      <c r="T82" s="106">
        <f t="shared" si="196"/>
        <v>1.1</v>
      </c>
      <c r="U82" s="107">
        <f t="shared" si="189"/>
        <v>15996</v>
      </c>
      <c r="V82" s="108">
        <v>5908</v>
      </c>
      <c r="W82" s="108">
        <v>10088</v>
      </c>
      <c r="X82" s="109">
        <f t="shared" si="190"/>
        <v>0</v>
      </c>
      <c r="Y82" s="118">
        <v>0</v>
      </c>
      <c r="Z82" s="118">
        <v>0</v>
      </c>
      <c r="AA82" s="117">
        <v>6322</v>
      </c>
      <c r="AB82" s="108">
        <v>6322</v>
      </c>
      <c r="AC82" s="108">
        <v>1386</v>
      </c>
      <c r="AD82" s="108"/>
      <c r="AE82" s="117">
        <v>11704</v>
      </c>
      <c r="AF82" s="108">
        <v>11704</v>
      </c>
      <c r="AG82" s="108">
        <v>248</v>
      </c>
      <c r="AH82" s="123">
        <f t="shared" si="191"/>
        <v>218</v>
      </c>
      <c r="AI82" s="124">
        <f t="shared" si="192"/>
        <v>131</v>
      </c>
      <c r="AJ82" s="124">
        <f t="shared" si="193"/>
        <v>52</v>
      </c>
      <c r="AK82" s="124">
        <f t="shared" si="194"/>
        <v>35</v>
      </c>
      <c r="AL82" s="125">
        <v>23</v>
      </c>
      <c r="AM82" s="125">
        <v>3615</v>
      </c>
      <c r="AO82" s="51">
        <f t="shared" si="195"/>
        <v>1.1</v>
      </c>
      <c r="AP82" s="51" t="s">
        <v>90</v>
      </c>
      <c r="AQ82" s="51" t="b">
        <f t="shared" si="172"/>
        <v>1</v>
      </c>
    </row>
    <row r="83" ht="14.25" customHeight="1" spans="1:43">
      <c r="A83" s="75" t="s">
        <v>91</v>
      </c>
      <c r="B83" s="72">
        <f t="shared" si="180"/>
        <v>53</v>
      </c>
      <c r="C83" s="72">
        <f t="shared" si="181"/>
        <v>42</v>
      </c>
      <c r="D83" s="72">
        <f t="shared" si="182"/>
        <v>11</v>
      </c>
      <c r="E83" s="72">
        <f t="shared" si="183"/>
        <v>0</v>
      </c>
      <c r="F83" s="72">
        <f t="shared" si="173"/>
        <v>11</v>
      </c>
      <c r="G83" s="73">
        <f t="shared" si="184"/>
        <v>783</v>
      </c>
      <c r="H83" s="73">
        <f>ROUND($X$2/$U$6*U83,0)</f>
        <v>24</v>
      </c>
      <c r="I83" s="86">
        <f t="shared" si="185"/>
        <v>455</v>
      </c>
      <c r="J83" s="86">
        <f>ROUND($R$2*T83*U83/$U$6,0)</f>
        <v>463</v>
      </c>
      <c r="K83" s="86">
        <f t="shared" si="186"/>
        <v>304</v>
      </c>
      <c r="L83" s="86">
        <f>ROUND($Y$2*T83*U83/$U$6,0)</f>
        <v>309</v>
      </c>
      <c r="M83" s="86">
        <f t="shared" si="187"/>
        <v>0</v>
      </c>
      <c r="N83" s="87">
        <f t="shared" si="188"/>
        <v>730</v>
      </c>
      <c r="O83" s="87">
        <v>437</v>
      </c>
      <c r="P83" s="87">
        <v>293</v>
      </c>
      <c r="Q83" s="104">
        <v>0</v>
      </c>
      <c r="R83" s="104">
        <f t="shared" si="174"/>
        <v>293</v>
      </c>
      <c r="S83" s="105" t="s">
        <v>137</v>
      </c>
      <c r="T83" s="106">
        <f t="shared" si="196"/>
        <v>1.1</v>
      </c>
      <c r="U83" s="107">
        <f t="shared" si="189"/>
        <v>22008</v>
      </c>
      <c r="V83" s="108">
        <v>7421</v>
      </c>
      <c r="W83" s="108">
        <v>14587</v>
      </c>
      <c r="X83" s="109">
        <f t="shared" si="190"/>
        <v>0</v>
      </c>
      <c r="Y83" s="118">
        <v>0</v>
      </c>
      <c r="Z83" s="118">
        <v>0</v>
      </c>
      <c r="AA83" s="117">
        <v>9399</v>
      </c>
      <c r="AB83" s="108">
        <v>8679</v>
      </c>
      <c r="AC83" s="108">
        <v>2983</v>
      </c>
      <c r="AD83" s="108"/>
      <c r="AE83" s="117">
        <v>15743</v>
      </c>
      <c r="AF83" s="108">
        <v>15458</v>
      </c>
      <c r="AG83" s="108">
        <v>3930</v>
      </c>
      <c r="AH83" s="123">
        <f t="shared" si="191"/>
        <v>44</v>
      </c>
      <c r="AI83" s="124">
        <f t="shared" si="192"/>
        <v>26</v>
      </c>
      <c r="AJ83" s="124">
        <f t="shared" si="193"/>
        <v>11</v>
      </c>
      <c r="AK83" s="124">
        <f t="shared" si="194"/>
        <v>7</v>
      </c>
      <c r="AL83" s="125"/>
      <c r="AM83" s="125">
        <v>734</v>
      </c>
      <c r="AO83" s="51">
        <f t="shared" si="195"/>
        <v>1.1</v>
      </c>
      <c r="AP83" s="51" t="s">
        <v>91</v>
      </c>
      <c r="AQ83" s="51" t="b">
        <f t="shared" si="172"/>
        <v>1</v>
      </c>
    </row>
    <row r="84" ht="14.25" customHeight="1" spans="1:43">
      <c r="A84" s="75" t="s">
        <v>92</v>
      </c>
      <c r="B84" s="72">
        <f t="shared" si="180"/>
        <v>44</v>
      </c>
      <c r="C84" s="72">
        <f t="shared" si="181"/>
        <v>39</v>
      </c>
      <c r="D84" s="72">
        <f t="shared" si="182"/>
        <v>5</v>
      </c>
      <c r="E84" s="72">
        <f t="shared" si="183"/>
        <v>0</v>
      </c>
      <c r="F84" s="72">
        <f t="shared" si="173"/>
        <v>5</v>
      </c>
      <c r="G84" s="73">
        <f t="shared" si="184"/>
        <v>864</v>
      </c>
      <c r="H84" s="73">
        <f>ROUND($X$2/$U$6*U84,0)</f>
        <v>26</v>
      </c>
      <c r="I84" s="86">
        <f t="shared" si="185"/>
        <v>503</v>
      </c>
      <c r="J84" s="86">
        <f>ROUND($R$2*T84*U84/$U$6,0)</f>
        <v>512</v>
      </c>
      <c r="K84" s="86">
        <f t="shared" si="186"/>
        <v>335</v>
      </c>
      <c r="L84" s="86">
        <f>ROUND($Y$2*T84*U84/$U$6,0)</f>
        <v>341</v>
      </c>
      <c r="M84" s="86">
        <f t="shared" si="187"/>
        <v>0</v>
      </c>
      <c r="N84" s="87">
        <f t="shared" si="188"/>
        <v>820</v>
      </c>
      <c r="O84" s="87">
        <v>490</v>
      </c>
      <c r="P84" s="87">
        <v>330</v>
      </c>
      <c r="Q84" s="104">
        <v>0</v>
      </c>
      <c r="R84" s="104">
        <f t="shared" si="174"/>
        <v>330</v>
      </c>
      <c r="S84" s="105" t="s">
        <v>137</v>
      </c>
      <c r="T84" s="106">
        <f t="shared" si="196"/>
        <v>1.1</v>
      </c>
      <c r="U84" s="107">
        <f t="shared" si="189"/>
        <v>24312</v>
      </c>
      <c r="V84" s="108">
        <v>8559</v>
      </c>
      <c r="W84" s="108">
        <v>15753</v>
      </c>
      <c r="X84" s="109">
        <f t="shared" si="190"/>
        <v>0</v>
      </c>
      <c r="Y84" s="118">
        <v>0</v>
      </c>
      <c r="Z84" s="118">
        <v>0</v>
      </c>
      <c r="AA84" s="117">
        <v>9701</v>
      </c>
      <c r="AB84" s="108">
        <v>9701</v>
      </c>
      <c r="AC84" s="108">
        <v>4062</v>
      </c>
      <c r="AD84" s="108"/>
      <c r="AE84" s="117">
        <v>17994</v>
      </c>
      <c r="AF84" s="108">
        <v>17994</v>
      </c>
      <c r="AG84" s="108">
        <v>956</v>
      </c>
      <c r="AH84" s="123">
        <f t="shared" si="191"/>
        <v>230</v>
      </c>
      <c r="AI84" s="124">
        <f t="shared" si="192"/>
        <v>138</v>
      </c>
      <c r="AJ84" s="124">
        <f t="shared" si="193"/>
        <v>55</v>
      </c>
      <c r="AK84" s="124">
        <f t="shared" si="194"/>
        <v>37</v>
      </c>
      <c r="AL84" s="125"/>
      <c r="AM84" s="125">
        <v>3842</v>
      </c>
      <c r="AO84" s="51">
        <f t="shared" si="195"/>
        <v>1.1</v>
      </c>
      <c r="AP84" s="51" t="s">
        <v>92</v>
      </c>
      <c r="AQ84" s="51" t="b">
        <f t="shared" si="172"/>
        <v>1</v>
      </c>
    </row>
    <row r="85" ht="14.25" customHeight="1" spans="1:43">
      <c r="A85" s="75" t="s">
        <v>93</v>
      </c>
      <c r="B85" s="72">
        <f t="shared" si="180"/>
        <v>29</v>
      </c>
      <c r="C85" s="72">
        <f t="shared" si="181"/>
        <v>27</v>
      </c>
      <c r="D85" s="72">
        <f t="shared" si="182"/>
        <v>2</v>
      </c>
      <c r="E85" s="72">
        <f t="shared" si="183"/>
        <v>0</v>
      </c>
      <c r="F85" s="72">
        <f t="shared" si="173"/>
        <v>2</v>
      </c>
      <c r="G85" s="73">
        <f t="shared" si="184"/>
        <v>621</v>
      </c>
      <c r="H85" s="73">
        <f>ROUND($X$2/$U$6*U85,0)</f>
        <v>19</v>
      </c>
      <c r="I85" s="86">
        <f t="shared" si="185"/>
        <v>361</v>
      </c>
      <c r="J85" s="86">
        <f>ROUND($R$2*T85*U85/$U$6,0)</f>
        <v>367</v>
      </c>
      <c r="K85" s="86">
        <f t="shared" si="186"/>
        <v>241</v>
      </c>
      <c r="L85" s="86">
        <f>ROUND($Y$2*T85*U85/$U$6,0)</f>
        <v>245</v>
      </c>
      <c r="M85" s="86">
        <f t="shared" si="187"/>
        <v>0</v>
      </c>
      <c r="N85" s="87">
        <f t="shared" si="188"/>
        <v>592</v>
      </c>
      <c r="O85" s="87">
        <v>353</v>
      </c>
      <c r="P85" s="87">
        <v>239</v>
      </c>
      <c r="Q85" s="104">
        <v>0</v>
      </c>
      <c r="R85" s="104">
        <f t="shared" si="174"/>
        <v>239</v>
      </c>
      <c r="S85" s="105" t="s">
        <v>137</v>
      </c>
      <c r="T85" s="106">
        <f t="shared" si="196"/>
        <v>1.1</v>
      </c>
      <c r="U85" s="107">
        <f t="shared" si="189"/>
        <v>17428</v>
      </c>
      <c r="V85" s="108">
        <v>6782</v>
      </c>
      <c r="W85" s="108">
        <v>10646</v>
      </c>
      <c r="X85" s="109">
        <f t="shared" si="190"/>
        <v>0</v>
      </c>
      <c r="Y85" s="118">
        <v>0</v>
      </c>
      <c r="Z85" s="118">
        <v>0</v>
      </c>
      <c r="AA85" s="117">
        <v>7480</v>
      </c>
      <c r="AB85" s="108">
        <v>7480</v>
      </c>
      <c r="AC85" s="108">
        <v>1803</v>
      </c>
      <c r="AD85" s="108"/>
      <c r="AE85" s="117">
        <v>13033</v>
      </c>
      <c r="AF85" s="108">
        <v>13033</v>
      </c>
      <c r="AG85" s="108"/>
      <c r="AH85" s="123">
        <f t="shared" si="191"/>
        <v>260</v>
      </c>
      <c r="AI85" s="124">
        <f t="shared" si="192"/>
        <v>156</v>
      </c>
      <c r="AJ85" s="124">
        <f t="shared" si="193"/>
        <v>62</v>
      </c>
      <c r="AK85" s="124">
        <f t="shared" si="194"/>
        <v>42</v>
      </c>
      <c r="AL85" s="125">
        <v>16</v>
      </c>
      <c r="AM85" s="125">
        <v>4312</v>
      </c>
      <c r="AO85" s="51">
        <f t="shared" si="195"/>
        <v>1.1</v>
      </c>
      <c r="AP85" s="51" t="s">
        <v>93</v>
      </c>
      <c r="AQ85" s="51" t="b">
        <f t="shared" si="172"/>
        <v>1</v>
      </c>
    </row>
    <row r="86" ht="14.25" customHeight="1" spans="1:43">
      <c r="A86" s="76" t="s">
        <v>94</v>
      </c>
      <c r="B86" s="77">
        <f>SUM(B87:B95)</f>
        <v>446</v>
      </c>
      <c r="C86" s="77">
        <f t="shared" ref="C86:K86" si="197">SUM(C87:C95)</f>
        <v>332</v>
      </c>
      <c r="D86" s="77">
        <f t="shared" si="197"/>
        <v>114</v>
      </c>
      <c r="E86" s="77">
        <f t="shared" si="197"/>
        <v>0</v>
      </c>
      <c r="F86" s="77">
        <f t="shared" si="197"/>
        <v>114</v>
      </c>
      <c r="G86" s="78">
        <f t="shared" si="197"/>
        <v>4234</v>
      </c>
      <c r="H86" s="78">
        <f t="shared" si="197"/>
        <v>132</v>
      </c>
      <c r="I86" s="78">
        <f t="shared" si="197"/>
        <v>2462</v>
      </c>
      <c r="J86" s="78">
        <f t="shared" si="197"/>
        <v>2504</v>
      </c>
      <c r="K86" s="78">
        <f t="shared" si="197"/>
        <v>1640</v>
      </c>
      <c r="L86" s="78">
        <f t="shared" ref="L86:Q86" si="198">SUM(L87:L95)</f>
        <v>1668</v>
      </c>
      <c r="M86" s="78">
        <f t="shared" si="198"/>
        <v>0</v>
      </c>
      <c r="N86" s="88">
        <f t="shared" si="198"/>
        <v>3788</v>
      </c>
      <c r="O86" s="88">
        <v>2262</v>
      </c>
      <c r="P86" s="88">
        <v>1526</v>
      </c>
      <c r="Q86" s="88">
        <v>0</v>
      </c>
      <c r="R86" s="104">
        <f t="shared" si="174"/>
        <v>1526</v>
      </c>
      <c r="S86" s="100" t="s">
        <v>137</v>
      </c>
      <c r="T86" s="106"/>
      <c r="U86" s="110">
        <f t="shared" ref="U86:AC86" si="199">SUM(U87:U95)</f>
        <v>123144</v>
      </c>
      <c r="V86" s="111">
        <f t="shared" si="199"/>
        <v>41226</v>
      </c>
      <c r="W86" s="111">
        <f t="shared" si="199"/>
        <v>81918</v>
      </c>
      <c r="X86" s="110">
        <f t="shared" si="199"/>
        <v>0</v>
      </c>
      <c r="Y86" s="111">
        <f t="shared" si="199"/>
        <v>0</v>
      </c>
      <c r="Z86" s="111">
        <f t="shared" si="199"/>
        <v>0</v>
      </c>
      <c r="AA86" s="110">
        <f t="shared" si="199"/>
        <v>40010</v>
      </c>
      <c r="AB86" s="110">
        <f t="shared" si="199"/>
        <v>38972</v>
      </c>
      <c r="AC86" s="110">
        <f t="shared" si="199"/>
        <v>1502</v>
      </c>
      <c r="AD86" s="110"/>
      <c r="AE86" s="110">
        <f t="shared" ref="AE86:AM86" si="200">SUM(AE87:AE95)</f>
        <v>83729</v>
      </c>
      <c r="AF86" s="110">
        <f t="shared" si="200"/>
        <v>83729</v>
      </c>
      <c r="AG86" s="110">
        <f t="shared" si="200"/>
        <v>433</v>
      </c>
      <c r="AH86" s="110">
        <f t="shared" si="200"/>
        <v>374</v>
      </c>
      <c r="AI86" s="110">
        <f t="shared" si="200"/>
        <v>287</v>
      </c>
      <c r="AJ86" s="110">
        <f t="shared" si="200"/>
        <v>57</v>
      </c>
      <c r="AK86" s="110">
        <f t="shared" si="200"/>
        <v>30</v>
      </c>
      <c r="AL86" s="110">
        <f t="shared" si="200"/>
        <v>2027</v>
      </c>
      <c r="AM86" s="110">
        <f t="shared" si="200"/>
        <v>3303</v>
      </c>
      <c r="AP86" s="51" t="s">
        <v>94</v>
      </c>
      <c r="AQ86" s="51" t="b">
        <f t="shared" si="172"/>
        <v>1</v>
      </c>
    </row>
    <row r="87" ht="14.25" customHeight="1" spans="1:43">
      <c r="A87" s="71" t="s">
        <v>26</v>
      </c>
      <c r="B87" s="72">
        <f t="shared" ref="B87:B95" si="201">C87+D87</f>
        <v>3</v>
      </c>
      <c r="C87" s="72">
        <f t="shared" ref="C87:C95" si="202">I87-O87+H87</f>
        <v>2</v>
      </c>
      <c r="D87" s="72">
        <f t="shared" ref="D87:D95" si="203">K87-P87</f>
        <v>1</v>
      </c>
      <c r="E87" s="72">
        <f t="shared" ref="E87:E95" si="204">M87-Q87</f>
        <v>0</v>
      </c>
      <c r="F87" s="72">
        <f t="shared" si="173"/>
        <v>1</v>
      </c>
      <c r="G87" s="73">
        <f t="shared" ref="G87:G95" si="205">I87+K87+H87</f>
        <v>3</v>
      </c>
      <c r="H87" s="73">
        <f>ROUND($X$2/$U$6*U87,0)</f>
        <v>0</v>
      </c>
      <c r="I87" s="86">
        <f t="shared" ref="I87:I95" si="206">ROUND(24000/24412*J87,0)</f>
        <v>2</v>
      </c>
      <c r="J87" s="86">
        <f>ROUND($R$2*T87*U87/$U$6,0)</f>
        <v>2</v>
      </c>
      <c r="K87" s="86">
        <f t="shared" ref="K87:K95" si="207">ROUND(16000/16274*L87,0)</f>
        <v>1</v>
      </c>
      <c r="L87" s="86">
        <f>ROUND($Y$2*T87*U87/$U$6,0)</f>
        <v>1</v>
      </c>
      <c r="M87" s="86">
        <f t="shared" ref="M87:M95" si="208">ROUND(8040*X87/$X$6,0)</f>
        <v>0</v>
      </c>
      <c r="N87" s="87">
        <f t="shared" ref="N87:N95" si="209">O87+P87</f>
        <v>0</v>
      </c>
      <c r="O87" s="87">
        <v>0</v>
      </c>
      <c r="P87" s="87">
        <v>0</v>
      </c>
      <c r="Q87" s="104">
        <v>0</v>
      </c>
      <c r="R87" s="104">
        <f t="shared" si="174"/>
        <v>0</v>
      </c>
      <c r="S87" s="105"/>
      <c r="T87" s="106">
        <f>AO87</f>
        <v>1.1</v>
      </c>
      <c r="U87" s="107">
        <f t="shared" ref="U87:U95" si="210">V87+W87</f>
        <v>89</v>
      </c>
      <c r="V87" s="108">
        <v>89</v>
      </c>
      <c r="W87" s="108">
        <v>0</v>
      </c>
      <c r="X87" s="109">
        <f t="shared" ref="X87:X95" si="211">Y87+Z87</f>
        <v>0</v>
      </c>
      <c r="Y87" s="118"/>
      <c r="Z87" s="118"/>
      <c r="AA87" s="117">
        <v>0</v>
      </c>
      <c r="AB87" s="108">
        <v>0</v>
      </c>
      <c r="AC87" s="108"/>
      <c r="AD87" s="108"/>
      <c r="AE87" s="117">
        <v>0</v>
      </c>
      <c r="AF87" s="108">
        <v>0</v>
      </c>
      <c r="AG87" s="108"/>
      <c r="AH87" s="123">
        <f t="shared" ref="AH87:AH95" si="212">AI87+AJ87+AK87</f>
        <v>0</v>
      </c>
      <c r="AI87" s="124">
        <f t="shared" ref="AI87:AI95" si="213">ROUND((AL87*800+AM87*600)*0.8/10000,0)</f>
        <v>0</v>
      </c>
      <c r="AJ87" s="124">
        <f t="shared" ref="AJ87:AJ95" si="214">ROUND((AL87*800+AM87*600)*0.16/10000,0)</f>
        <v>0</v>
      </c>
      <c r="AK87" s="124">
        <f t="shared" ref="AK87:AK95" si="215">ROUND((AL87*800+AM87*600)*0.08/10000,0)</f>
        <v>0</v>
      </c>
      <c r="AL87" s="125"/>
      <c r="AM87" s="125"/>
      <c r="AO87" s="51">
        <f t="shared" ref="AO87:AO95" si="216">IF(U87&gt;=30000,IF(U87&gt;50000,IF(U87&gt;70000,0.8,0.9),1),1.1)</f>
        <v>1.1</v>
      </c>
      <c r="AP87" s="51" t="s">
        <v>26</v>
      </c>
      <c r="AQ87" s="51" t="b">
        <f t="shared" si="172"/>
        <v>1</v>
      </c>
    </row>
    <row r="88" s="44" customFormat="1" ht="14.25" customHeight="1" spans="1:43">
      <c r="A88" s="74" t="s">
        <v>95</v>
      </c>
      <c r="B88" s="72">
        <f t="shared" si="201"/>
        <v>199</v>
      </c>
      <c r="C88" s="72">
        <f t="shared" si="202"/>
        <v>143</v>
      </c>
      <c r="D88" s="72">
        <f t="shared" si="203"/>
        <v>56</v>
      </c>
      <c r="E88" s="72">
        <f t="shared" si="204"/>
        <v>0</v>
      </c>
      <c r="F88" s="72">
        <f t="shared" si="173"/>
        <v>56</v>
      </c>
      <c r="G88" s="73">
        <f t="shared" si="205"/>
        <v>1502</v>
      </c>
      <c r="H88" s="73">
        <f>ROUND($X$2/$U$6*U88,0)</f>
        <v>50</v>
      </c>
      <c r="I88" s="86">
        <f t="shared" si="206"/>
        <v>871</v>
      </c>
      <c r="J88" s="86">
        <f>ROUND($R$2*T88*U88/$U$6,0)</f>
        <v>886</v>
      </c>
      <c r="K88" s="86">
        <f t="shared" si="207"/>
        <v>581</v>
      </c>
      <c r="L88" s="86">
        <f>ROUND($Y$2*T88*U88/$U$6,0)</f>
        <v>591</v>
      </c>
      <c r="M88" s="86">
        <f t="shared" si="208"/>
        <v>0</v>
      </c>
      <c r="N88" s="87">
        <f t="shared" si="209"/>
        <v>1303</v>
      </c>
      <c r="O88" s="87">
        <v>778</v>
      </c>
      <c r="P88" s="87">
        <v>525</v>
      </c>
      <c r="Q88" s="104">
        <v>0</v>
      </c>
      <c r="R88" s="104">
        <f t="shared" si="174"/>
        <v>525</v>
      </c>
      <c r="S88" s="100"/>
      <c r="T88" s="106">
        <f t="shared" ref="T88:T95" si="217">AO88</f>
        <v>1</v>
      </c>
      <c r="U88" s="107">
        <f t="shared" si="210"/>
        <v>46323</v>
      </c>
      <c r="V88" s="108">
        <v>14489</v>
      </c>
      <c r="W88" s="108">
        <v>31834</v>
      </c>
      <c r="X88" s="109">
        <f t="shared" si="211"/>
        <v>0</v>
      </c>
      <c r="Y88" s="118"/>
      <c r="Z88" s="118"/>
      <c r="AA88" s="117">
        <v>13138</v>
      </c>
      <c r="AB88" s="108">
        <v>12100</v>
      </c>
      <c r="AC88" s="108">
        <v>44</v>
      </c>
      <c r="AD88" s="108"/>
      <c r="AE88" s="117">
        <v>30036</v>
      </c>
      <c r="AF88" s="108">
        <v>30036</v>
      </c>
      <c r="AG88" s="108"/>
      <c r="AH88" s="123">
        <f t="shared" si="212"/>
        <v>13</v>
      </c>
      <c r="AI88" s="124">
        <f t="shared" si="213"/>
        <v>10</v>
      </c>
      <c r="AJ88" s="124">
        <f t="shared" si="214"/>
        <v>2</v>
      </c>
      <c r="AK88" s="124">
        <f t="shared" si="215"/>
        <v>1</v>
      </c>
      <c r="AL88" s="126">
        <v>103</v>
      </c>
      <c r="AM88" s="129">
        <v>81</v>
      </c>
      <c r="AO88" s="51">
        <f t="shared" si="216"/>
        <v>1</v>
      </c>
      <c r="AP88" s="44" t="s">
        <v>95</v>
      </c>
      <c r="AQ88" s="51" t="b">
        <f t="shared" si="172"/>
        <v>1</v>
      </c>
    </row>
    <row r="89" s="44" customFormat="1" ht="14.25" customHeight="1" spans="1:43">
      <c r="A89" s="74" t="s">
        <v>96</v>
      </c>
      <c r="B89" s="72">
        <f t="shared" si="201"/>
        <v>11</v>
      </c>
      <c r="C89" s="72">
        <f t="shared" si="202"/>
        <v>9</v>
      </c>
      <c r="D89" s="72">
        <f t="shared" si="203"/>
        <v>2</v>
      </c>
      <c r="E89" s="72">
        <f t="shared" si="204"/>
        <v>0</v>
      </c>
      <c r="F89" s="72">
        <f t="shared" si="173"/>
        <v>2</v>
      </c>
      <c r="G89" s="73">
        <f t="shared" si="205"/>
        <v>120</v>
      </c>
      <c r="H89" s="73">
        <f>ROUND($X$2/$U$6*U89,0)</f>
        <v>4</v>
      </c>
      <c r="I89" s="86">
        <f t="shared" si="206"/>
        <v>70</v>
      </c>
      <c r="J89" s="86">
        <f>ROUND($R$2*T89*U89/$U$6,0)</f>
        <v>71</v>
      </c>
      <c r="K89" s="86">
        <f t="shared" si="207"/>
        <v>46</v>
      </c>
      <c r="L89" s="86">
        <f>ROUND($Y$2*T89*U89/$U$6,0)</f>
        <v>47</v>
      </c>
      <c r="M89" s="86">
        <f t="shared" si="208"/>
        <v>0</v>
      </c>
      <c r="N89" s="87">
        <f t="shared" si="209"/>
        <v>109</v>
      </c>
      <c r="O89" s="87">
        <v>65</v>
      </c>
      <c r="P89" s="87">
        <v>44</v>
      </c>
      <c r="Q89" s="104">
        <v>0</v>
      </c>
      <c r="R89" s="104">
        <f t="shared" si="174"/>
        <v>44</v>
      </c>
      <c r="S89" s="105"/>
      <c r="T89" s="106">
        <f t="shared" si="217"/>
        <v>1.1</v>
      </c>
      <c r="U89" s="107">
        <f t="shared" si="210"/>
        <v>3361</v>
      </c>
      <c r="V89" s="108">
        <v>1156</v>
      </c>
      <c r="W89" s="108">
        <v>2205</v>
      </c>
      <c r="X89" s="109">
        <f t="shared" si="211"/>
        <v>0</v>
      </c>
      <c r="Y89" s="118"/>
      <c r="Z89" s="118"/>
      <c r="AA89" s="117">
        <v>1161</v>
      </c>
      <c r="AB89" s="108">
        <v>1161</v>
      </c>
      <c r="AC89" s="108">
        <v>4</v>
      </c>
      <c r="AD89" s="108"/>
      <c r="AE89" s="117">
        <v>2566</v>
      </c>
      <c r="AF89" s="108">
        <v>2566</v>
      </c>
      <c r="AG89" s="108"/>
      <c r="AH89" s="123">
        <f t="shared" si="212"/>
        <v>22</v>
      </c>
      <c r="AI89" s="124">
        <f t="shared" si="213"/>
        <v>17</v>
      </c>
      <c r="AJ89" s="124">
        <f t="shared" si="214"/>
        <v>3</v>
      </c>
      <c r="AK89" s="124">
        <f t="shared" si="215"/>
        <v>2</v>
      </c>
      <c r="AL89" s="126">
        <v>237</v>
      </c>
      <c r="AM89" s="129">
        <v>28</v>
      </c>
      <c r="AO89" s="51">
        <f t="shared" si="216"/>
        <v>1.1</v>
      </c>
      <c r="AP89" s="44" t="s">
        <v>96</v>
      </c>
      <c r="AQ89" s="51" t="b">
        <f t="shared" si="172"/>
        <v>1</v>
      </c>
    </row>
    <row r="90" s="44" customFormat="1" ht="14.25" customHeight="1" spans="1:43">
      <c r="A90" s="74" t="s">
        <v>97</v>
      </c>
      <c r="B90" s="72">
        <f t="shared" si="201"/>
        <v>80</v>
      </c>
      <c r="C90" s="72">
        <f t="shared" si="202"/>
        <v>63</v>
      </c>
      <c r="D90" s="72">
        <f t="shared" si="203"/>
        <v>17</v>
      </c>
      <c r="E90" s="72">
        <f t="shared" si="204"/>
        <v>0</v>
      </c>
      <c r="F90" s="72">
        <f t="shared" si="173"/>
        <v>17</v>
      </c>
      <c r="G90" s="73">
        <f t="shared" si="205"/>
        <v>1003</v>
      </c>
      <c r="H90" s="73">
        <f>ROUND($X$2/$U$6*U90,0)</f>
        <v>30</v>
      </c>
      <c r="I90" s="86">
        <f t="shared" si="206"/>
        <v>584</v>
      </c>
      <c r="J90" s="86">
        <f>ROUND($R$2*T90*U90/$U$6,0)</f>
        <v>594</v>
      </c>
      <c r="K90" s="86">
        <f t="shared" si="207"/>
        <v>389</v>
      </c>
      <c r="L90" s="86">
        <f>ROUND($Y$2*T90*U90/$U$6,0)</f>
        <v>396</v>
      </c>
      <c r="M90" s="86">
        <f t="shared" si="208"/>
        <v>0</v>
      </c>
      <c r="N90" s="87">
        <f t="shared" si="209"/>
        <v>923</v>
      </c>
      <c r="O90" s="87">
        <v>551</v>
      </c>
      <c r="P90" s="87">
        <v>372</v>
      </c>
      <c r="Q90" s="104">
        <v>0</v>
      </c>
      <c r="R90" s="104">
        <f t="shared" si="174"/>
        <v>372</v>
      </c>
      <c r="S90" s="100"/>
      <c r="T90" s="106">
        <f t="shared" si="217"/>
        <v>1.1</v>
      </c>
      <c r="U90" s="107">
        <f t="shared" si="210"/>
        <v>28236</v>
      </c>
      <c r="V90" s="108">
        <v>10562</v>
      </c>
      <c r="W90" s="108">
        <v>17674</v>
      </c>
      <c r="X90" s="109">
        <f t="shared" si="211"/>
        <v>0</v>
      </c>
      <c r="Y90" s="118"/>
      <c r="Z90" s="118"/>
      <c r="AA90" s="117">
        <v>10271</v>
      </c>
      <c r="AB90" s="108">
        <v>10271</v>
      </c>
      <c r="AC90" s="108">
        <v>682</v>
      </c>
      <c r="AD90" s="108"/>
      <c r="AE90" s="117">
        <v>19696</v>
      </c>
      <c r="AF90" s="108">
        <v>19696</v>
      </c>
      <c r="AG90" s="108">
        <v>308</v>
      </c>
      <c r="AH90" s="123">
        <f t="shared" si="212"/>
        <v>48</v>
      </c>
      <c r="AI90" s="124">
        <f t="shared" si="213"/>
        <v>37</v>
      </c>
      <c r="AJ90" s="124">
        <f t="shared" si="214"/>
        <v>7</v>
      </c>
      <c r="AK90" s="124">
        <f t="shared" si="215"/>
        <v>4</v>
      </c>
      <c r="AL90" s="126"/>
      <c r="AM90" s="129">
        <v>776</v>
      </c>
      <c r="AO90" s="51">
        <f t="shared" si="216"/>
        <v>1.1</v>
      </c>
      <c r="AP90" s="44" t="s">
        <v>97</v>
      </c>
      <c r="AQ90" s="51" t="b">
        <f t="shared" si="172"/>
        <v>1</v>
      </c>
    </row>
    <row r="91" s="44" customFormat="1" ht="14.25" customHeight="1" spans="1:43">
      <c r="A91" s="74" t="s">
        <v>98</v>
      </c>
      <c r="B91" s="72">
        <f t="shared" si="201"/>
        <v>75</v>
      </c>
      <c r="C91" s="72">
        <f t="shared" si="202"/>
        <v>54</v>
      </c>
      <c r="D91" s="72">
        <f t="shared" si="203"/>
        <v>21</v>
      </c>
      <c r="E91" s="72">
        <f t="shared" si="204"/>
        <v>0</v>
      </c>
      <c r="F91" s="72">
        <f t="shared" si="173"/>
        <v>21</v>
      </c>
      <c r="G91" s="73">
        <f t="shared" si="205"/>
        <v>601</v>
      </c>
      <c r="H91" s="73">
        <f>ROUND($X$2/$U$6*U91,0)</f>
        <v>18</v>
      </c>
      <c r="I91" s="86">
        <f t="shared" si="206"/>
        <v>350</v>
      </c>
      <c r="J91" s="86">
        <f>ROUND($R$2*T91*U91/$U$6,0)</f>
        <v>356</v>
      </c>
      <c r="K91" s="86">
        <f t="shared" si="207"/>
        <v>233</v>
      </c>
      <c r="L91" s="86">
        <f>ROUND($Y$2*T91*U91/$U$6,0)</f>
        <v>237</v>
      </c>
      <c r="M91" s="86">
        <f t="shared" si="208"/>
        <v>0</v>
      </c>
      <c r="N91" s="87">
        <f t="shared" si="209"/>
        <v>526</v>
      </c>
      <c r="O91" s="87">
        <v>314</v>
      </c>
      <c r="P91" s="87">
        <v>212</v>
      </c>
      <c r="Q91" s="104">
        <v>0</v>
      </c>
      <c r="R91" s="104">
        <f t="shared" si="174"/>
        <v>212</v>
      </c>
      <c r="S91" s="100"/>
      <c r="T91" s="106">
        <f t="shared" si="217"/>
        <v>1.1</v>
      </c>
      <c r="U91" s="107">
        <f t="shared" si="210"/>
        <v>16896</v>
      </c>
      <c r="V91" s="108">
        <v>5198</v>
      </c>
      <c r="W91" s="108">
        <v>11698</v>
      </c>
      <c r="X91" s="109">
        <f t="shared" si="211"/>
        <v>0</v>
      </c>
      <c r="Y91" s="118"/>
      <c r="Z91" s="118"/>
      <c r="AA91" s="117">
        <v>4924</v>
      </c>
      <c r="AB91" s="108">
        <v>4924</v>
      </c>
      <c r="AC91" s="108">
        <v>76</v>
      </c>
      <c r="AD91" s="108"/>
      <c r="AE91" s="117">
        <v>10924</v>
      </c>
      <c r="AF91" s="108">
        <v>10924</v>
      </c>
      <c r="AG91" s="108">
        <v>25</v>
      </c>
      <c r="AH91" s="123">
        <f t="shared" si="212"/>
        <v>38</v>
      </c>
      <c r="AI91" s="124">
        <f t="shared" si="213"/>
        <v>29</v>
      </c>
      <c r="AJ91" s="124">
        <f t="shared" si="214"/>
        <v>6</v>
      </c>
      <c r="AK91" s="124">
        <f t="shared" si="215"/>
        <v>3</v>
      </c>
      <c r="AL91" s="126">
        <v>323</v>
      </c>
      <c r="AM91" s="129">
        <v>179</v>
      </c>
      <c r="AO91" s="51">
        <f t="shared" si="216"/>
        <v>1.1</v>
      </c>
      <c r="AP91" s="44" t="s">
        <v>98</v>
      </c>
      <c r="AQ91" s="51" t="b">
        <f t="shared" si="172"/>
        <v>1</v>
      </c>
    </row>
    <row r="92" s="44" customFormat="1" ht="14.25" customHeight="1" spans="1:43">
      <c r="A92" s="74" t="s">
        <v>99</v>
      </c>
      <c r="B92" s="72">
        <f t="shared" si="201"/>
        <v>14</v>
      </c>
      <c r="C92" s="72">
        <f t="shared" si="202"/>
        <v>10</v>
      </c>
      <c r="D92" s="72">
        <f t="shared" si="203"/>
        <v>4</v>
      </c>
      <c r="E92" s="72">
        <f t="shared" si="204"/>
        <v>0</v>
      </c>
      <c r="F92" s="72">
        <f t="shared" si="173"/>
        <v>4</v>
      </c>
      <c r="G92" s="73">
        <f t="shared" si="205"/>
        <v>169</v>
      </c>
      <c r="H92" s="73">
        <f>ROUND($X$2/$U$6*U92,0)</f>
        <v>5</v>
      </c>
      <c r="I92" s="86">
        <f t="shared" si="206"/>
        <v>98</v>
      </c>
      <c r="J92" s="86">
        <f>ROUND($R$2*T92*U92/$U$6,0)</f>
        <v>100</v>
      </c>
      <c r="K92" s="86">
        <f t="shared" si="207"/>
        <v>66</v>
      </c>
      <c r="L92" s="86">
        <f>ROUND($Y$2*T92*U92/$U$6,0)</f>
        <v>67</v>
      </c>
      <c r="M92" s="86">
        <f t="shared" si="208"/>
        <v>0</v>
      </c>
      <c r="N92" s="87">
        <f t="shared" si="209"/>
        <v>155</v>
      </c>
      <c r="O92" s="87">
        <v>93</v>
      </c>
      <c r="P92" s="87">
        <v>62</v>
      </c>
      <c r="Q92" s="104">
        <v>0</v>
      </c>
      <c r="R92" s="104">
        <f t="shared" si="174"/>
        <v>62</v>
      </c>
      <c r="S92" s="105"/>
      <c r="T92" s="106">
        <f t="shared" si="217"/>
        <v>1.1</v>
      </c>
      <c r="U92" s="107">
        <f t="shared" si="210"/>
        <v>4769</v>
      </c>
      <c r="V92" s="108">
        <v>1476</v>
      </c>
      <c r="W92" s="108">
        <v>3293</v>
      </c>
      <c r="X92" s="109">
        <f t="shared" si="211"/>
        <v>0</v>
      </c>
      <c r="Y92" s="118"/>
      <c r="Z92" s="118"/>
      <c r="AA92" s="117">
        <v>1603</v>
      </c>
      <c r="AB92" s="108">
        <v>1603</v>
      </c>
      <c r="AC92" s="108">
        <v>36</v>
      </c>
      <c r="AD92" s="108"/>
      <c r="AE92" s="117">
        <v>3588</v>
      </c>
      <c r="AF92" s="108">
        <v>3588</v>
      </c>
      <c r="AG92" s="108">
        <v>14</v>
      </c>
      <c r="AH92" s="123">
        <f t="shared" si="212"/>
        <v>46</v>
      </c>
      <c r="AI92" s="124">
        <f t="shared" si="213"/>
        <v>35</v>
      </c>
      <c r="AJ92" s="124">
        <f t="shared" si="214"/>
        <v>7</v>
      </c>
      <c r="AK92" s="124">
        <f t="shared" si="215"/>
        <v>4</v>
      </c>
      <c r="AL92" s="126">
        <v>535</v>
      </c>
      <c r="AM92" s="129">
        <v>26</v>
      </c>
      <c r="AO92" s="51">
        <f t="shared" si="216"/>
        <v>1.1</v>
      </c>
      <c r="AP92" s="44" t="s">
        <v>99</v>
      </c>
      <c r="AQ92" s="51" t="b">
        <f t="shared" si="172"/>
        <v>1</v>
      </c>
    </row>
    <row r="93" s="44" customFormat="1" ht="14.25" customHeight="1" spans="1:43">
      <c r="A93" s="74" t="s">
        <v>100</v>
      </c>
      <c r="B93" s="72">
        <f t="shared" si="201"/>
        <v>19</v>
      </c>
      <c r="C93" s="72">
        <f t="shared" si="202"/>
        <v>14</v>
      </c>
      <c r="D93" s="72">
        <f t="shared" si="203"/>
        <v>5</v>
      </c>
      <c r="E93" s="72">
        <f t="shared" si="204"/>
        <v>0</v>
      </c>
      <c r="F93" s="72">
        <f t="shared" si="173"/>
        <v>5</v>
      </c>
      <c r="G93" s="73">
        <f t="shared" si="205"/>
        <v>198</v>
      </c>
      <c r="H93" s="73">
        <f>ROUND($X$2/$U$6*U93,0)</f>
        <v>6</v>
      </c>
      <c r="I93" s="86">
        <f t="shared" si="206"/>
        <v>115</v>
      </c>
      <c r="J93" s="86">
        <f>ROUND($R$2*T93*U93/$U$6,0)</f>
        <v>117</v>
      </c>
      <c r="K93" s="86">
        <f t="shared" si="207"/>
        <v>77</v>
      </c>
      <c r="L93" s="86">
        <f>ROUND($Y$2*T93*U93/$U$6,0)</f>
        <v>78</v>
      </c>
      <c r="M93" s="86">
        <f t="shared" si="208"/>
        <v>0</v>
      </c>
      <c r="N93" s="87">
        <f t="shared" si="209"/>
        <v>179</v>
      </c>
      <c r="O93" s="87">
        <v>107</v>
      </c>
      <c r="P93" s="87">
        <v>72</v>
      </c>
      <c r="Q93" s="104">
        <v>0</v>
      </c>
      <c r="R93" s="104">
        <f t="shared" si="174"/>
        <v>72</v>
      </c>
      <c r="S93" s="105"/>
      <c r="T93" s="106">
        <f t="shared" si="217"/>
        <v>1.1</v>
      </c>
      <c r="U93" s="107">
        <f t="shared" si="210"/>
        <v>5538</v>
      </c>
      <c r="V93" s="108">
        <v>1891</v>
      </c>
      <c r="W93" s="108">
        <v>3647</v>
      </c>
      <c r="X93" s="109">
        <f t="shared" si="211"/>
        <v>0</v>
      </c>
      <c r="Y93" s="118"/>
      <c r="Z93" s="118"/>
      <c r="AA93" s="117">
        <v>1849</v>
      </c>
      <c r="AB93" s="108">
        <v>1849</v>
      </c>
      <c r="AC93" s="108">
        <v>56</v>
      </c>
      <c r="AD93" s="108"/>
      <c r="AE93" s="117">
        <v>4156</v>
      </c>
      <c r="AF93" s="108">
        <v>4156</v>
      </c>
      <c r="AG93" s="108"/>
      <c r="AH93" s="123">
        <f t="shared" si="212"/>
        <v>87</v>
      </c>
      <c r="AI93" s="124">
        <f t="shared" si="213"/>
        <v>67</v>
      </c>
      <c r="AJ93" s="124">
        <f t="shared" si="214"/>
        <v>13</v>
      </c>
      <c r="AK93" s="124">
        <f t="shared" si="215"/>
        <v>7</v>
      </c>
      <c r="AL93" s="126">
        <v>482</v>
      </c>
      <c r="AM93" s="129">
        <v>745</v>
      </c>
      <c r="AO93" s="51">
        <f t="shared" si="216"/>
        <v>1.1</v>
      </c>
      <c r="AP93" s="44" t="s">
        <v>100</v>
      </c>
      <c r="AQ93" s="51" t="b">
        <f t="shared" si="172"/>
        <v>1</v>
      </c>
    </row>
    <row r="94" ht="14.25" customHeight="1" spans="1:43">
      <c r="A94" s="71" t="s">
        <v>101</v>
      </c>
      <c r="B94" s="72">
        <f t="shared" si="201"/>
        <v>26</v>
      </c>
      <c r="C94" s="72">
        <f t="shared" si="202"/>
        <v>21</v>
      </c>
      <c r="D94" s="72">
        <f t="shared" si="203"/>
        <v>5</v>
      </c>
      <c r="E94" s="72">
        <f t="shared" si="204"/>
        <v>0</v>
      </c>
      <c r="F94" s="72">
        <f t="shared" si="173"/>
        <v>5</v>
      </c>
      <c r="G94" s="73">
        <f t="shared" si="205"/>
        <v>348</v>
      </c>
      <c r="H94" s="73">
        <f>ROUND($X$2/$U$6*U94,0)</f>
        <v>10</v>
      </c>
      <c r="I94" s="86">
        <f t="shared" si="206"/>
        <v>203</v>
      </c>
      <c r="J94" s="86">
        <f>ROUND($R$2*T94*U94/$U$6,0)</f>
        <v>206</v>
      </c>
      <c r="K94" s="86">
        <f t="shared" si="207"/>
        <v>135</v>
      </c>
      <c r="L94" s="86">
        <f>ROUND($Y$2*T94*U94/$U$6,0)</f>
        <v>137</v>
      </c>
      <c r="M94" s="86">
        <f t="shared" si="208"/>
        <v>0</v>
      </c>
      <c r="N94" s="87">
        <f t="shared" si="209"/>
        <v>322</v>
      </c>
      <c r="O94" s="87">
        <v>192</v>
      </c>
      <c r="P94" s="87">
        <v>130</v>
      </c>
      <c r="Q94" s="104">
        <v>0</v>
      </c>
      <c r="R94" s="104">
        <f t="shared" si="174"/>
        <v>130</v>
      </c>
      <c r="S94" s="105"/>
      <c r="T94" s="106">
        <f t="shared" si="217"/>
        <v>1.1</v>
      </c>
      <c r="U94" s="107">
        <f t="shared" si="210"/>
        <v>9777</v>
      </c>
      <c r="V94" s="108">
        <v>3484</v>
      </c>
      <c r="W94" s="108">
        <v>6293</v>
      </c>
      <c r="X94" s="109">
        <f t="shared" si="211"/>
        <v>0</v>
      </c>
      <c r="Y94" s="118"/>
      <c r="Z94" s="118"/>
      <c r="AA94" s="117">
        <v>3635</v>
      </c>
      <c r="AB94" s="108">
        <v>3635</v>
      </c>
      <c r="AC94" s="108">
        <v>173</v>
      </c>
      <c r="AD94" s="108"/>
      <c r="AE94" s="117">
        <v>6977</v>
      </c>
      <c r="AF94" s="108">
        <v>6977</v>
      </c>
      <c r="AG94" s="108">
        <v>57</v>
      </c>
      <c r="AH94" s="123">
        <f t="shared" si="212"/>
        <v>64</v>
      </c>
      <c r="AI94" s="124">
        <f t="shared" si="213"/>
        <v>49</v>
      </c>
      <c r="AJ94" s="124">
        <f t="shared" si="214"/>
        <v>10</v>
      </c>
      <c r="AK94" s="124">
        <f t="shared" si="215"/>
        <v>5</v>
      </c>
      <c r="AL94" s="125">
        <v>232</v>
      </c>
      <c r="AM94" s="129">
        <v>720</v>
      </c>
      <c r="AO94" s="51">
        <f t="shared" si="216"/>
        <v>1.1</v>
      </c>
      <c r="AP94" s="51" t="s">
        <v>101</v>
      </c>
      <c r="AQ94" s="51" t="b">
        <f t="shared" si="172"/>
        <v>1</v>
      </c>
    </row>
    <row r="95" ht="14.25" customHeight="1" spans="1:43">
      <c r="A95" s="71" t="s">
        <v>102</v>
      </c>
      <c r="B95" s="72">
        <f t="shared" si="201"/>
        <v>19</v>
      </c>
      <c r="C95" s="72">
        <f t="shared" si="202"/>
        <v>16</v>
      </c>
      <c r="D95" s="72">
        <f t="shared" si="203"/>
        <v>3</v>
      </c>
      <c r="E95" s="72">
        <f t="shared" si="204"/>
        <v>0</v>
      </c>
      <c r="F95" s="72">
        <f t="shared" si="173"/>
        <v>3</v>
      </c>
      <c r="G95" s="73">
        <f t="shared" si="205"/>
        <v>290</v>
      </c>
      <c r="H95" s="73">
        <f>ROUND($X$2/$U$6*U95,0)</f>
        <v>9</v>
      </c>
      <c r="I95" s="86">
        <f t="shared" si="206"/>
        <v>169</v>
      </c>
      <c r="J95" s="86">
        <f>ROUND($R$2*T95*U95/$U$6,0)</f>
        <v>172</v>
      </c>
      <c r="K95" s="86">
        <f t="shared" si="207"/>
        <v>112</v>
      </c>
      <c r="L95" s="86">
        <f>ROUND($Y$2*T95*U95/$U$6,0)</f>
        <v>114</v>
      </c>
      <c r="M95" s="86">
        <f t="shared" si="208"/>
        <v>0</v>
      </c>
      <c r="N95" s="87">
        <f t="shared" si="209"/>
        <v>271</v>
      </c>
      <c r="O95" s="87">
        <v>162</v>
      </c>
      <c r="P95" s="87">
        <v>109</v>
      </c>
      <c r="Q95" s="104">
        <v>0</v>
      </c>
      <c r="R95" s="104">
        <f t="shared" si="174"/>
        <v>109</v>
      </c>
      <c r="S95" s="105"/>
      <c r="T95" s="106">
        <f t="shared" si="217"/>
        <v>1.1</v>
      </c>
      <c r="U95" s="107">
        <f t="shared" si="210"/>
        <v>8155</v>
      </c>
      <c r="V95" s="108">
        <v>2881</v>
      </c>
      <c r="W95" s="108">
        <v>5274</v>
      </c>
      <c r="X95" s="109">
        <f t="shared" si="211"/>
        <v>0</v>
      </c>
      <c r="Y95" s="118"/>
      <c r="Z95" s="118"/>
      <c r="AA95" s="117">
        <v>3429</v>
      </c>
      <c r="AB95" s="108">
        <v>3429</v>
      </c>
      <c r="AC95" s="108">
        <v>431</v>
      </c>
      <c r="AD95" s="108"/>
      <c r="AE95" s="117">
        <v>5786</v>
      </c>
      <c r="AF95" s="108">
        <v>5786</v>
      </c>
      <c r="AG95" s="108">
        <v>29</v>
      </c>
      <c r="AH95" s="123">
        <f t="shared" si="212"/>
        <v>56</v>
      </c>
      <c r="AI95" s="124">
        <f t="shared" si="213"/>
        <v>43</v>
      </c>
      <c r="AJ95" s="124">
        <f t="shared" si="214"/>
        <v>9</v>
      </c>
      <c r="AK95" s="124">
        <f t="shared" si="215"/>
        <v>4</v>
      </c>
      <c r="AL95" s="125">
        <v>115</v>
      </c>
      <c r="AM95" s="129">
        <v>748</v>
      </c>
      <c r="AO95" s="51">
        <f t="shared" si="216"/>
        <v>1.1</v>
      </c>
      <c r="AP95" s="51" t="s">
        <v>102</v>
      </c>
      <c r="AQ95" s="51" t="b">
        <f t="shared" si="172"/>
        <v>1</v>
      </c>
    </row>
    <row r="96" ht="14.25" customHeight="1" spans="1:43">
      <c r="A96" s="76" t="s">
        <v>103</v>
      </c>
      <c r="B96" s="77">
        <f>SUM(B97:B99)</f>
        <v>13</v>
      </c>
      <c r="C96" s="77">
        <f t="shared" ref="C96:K96" si="218">SUM(C97:C99)</f>
        <v>9</v>
      </c>
      <c r="D96" s="77">
        <f t="shared" si="218"/>
        <v>4</v>
      </c>
      <c r="E96" s="77">
        <f t="shared" si="218"/>
        <v>0</v>
      </c>
      <c r="F96" s="77">
        <f t="shared" si="173"/>
        <v>4</v>
      </c>
      <c r="G96" s="78">
        <f t="shared" si="218"/>
        <v>119</v>
      </c>
      <c r="H96" s="78">
        <f t="shared" si="218"/>
        <v>3</v>
      </c>
      <c r="I96" s="78">
        <f t="shared" si="218"/>
        <v>70</v>
      </c>
      <c r="J96" s="78">
        <f t="shared" si="218"/>
        <v>71</v>
      </c>
      <c r="K96" s="78">
        <f t="shared" si="218"/>
        <v>46</v>
      </c>
      <c r="L96" s="78">
        <f t="shared" ref="L96:Q96" si="219">SUM(L97:L99)</f>
        <v>47</v>
      </c>
      <c r="M96" s="78">
        <f t="shared" si="219"/>
        <v>0</v>
      </c>
      <c r="N96" s="88">
        <f t="shared" si="219"/>
        <v>106</v>
      </c>
      <c r="O96" s="88">
        <v>64</v>
      </c>
      <c r="P96" s="88">
        <v>42</v>
      </c>
      <c r="Q96" s="88">
        <v>0</v>
      </c>
      <c r="R96" s="104">
        <f t="shared" si="174"/>
        <v>42</v>
      </c>
      <c r="S96" s="100" t="s">
        <v>165</v>
      </c>
      <c r="T96" s="106"/>
      <c r="U96" s="110">
        <f t="shared" ref="U96:AC96" si="220">SUM(U97:U99)</f>
        <v>3381</v>
      </c>
      <c r="V96" s="111">
        <f t="shared" si="220"/>
        <v>940</v>
      </c>
      <c r="W96" s="111">
        <f t="shared" si="220"/>
        <v>2441</v>
      </c>
      <c r="X96" s="110">
        <f t="shared" si="220"/>
        <v>0</v>
      </c>
      <c r="Y96" s="111">
        <f t="shared" si="220"/>
        <v>0</v>
      </c>
      <c r="Z96" s="111">
        <f t="shared" si="220"/>
        <v>0</v>
      </c>
      <c r="AA96" s="110">
        <f t="shared" si="220"/>
        <v>1122</v>
      </c>
      <c r="AB96" s="110">
        <f t="shared" si="220"/>
        <v>1122</v>
      </c>
      <c r="AC96" s="110">
        <f t="shared" si="220"/>
        <v>0</v>
      </c>
      <c r="AD96" s="110"/>
      <c r="AE96" s="110">
        <f t="shared" ref="AE96:AM96" si="221">SUM(AE97:AE99)</f>
        <v>2398</v>
      </c>
      <c r="AF96" s="110">
        <f t="shared" si="221"/>
        <v>2398</v>
      </c>
      <c r="AG96" s="110">
        <f t="shared" si="221"/>
        <v>10</v>
      </c>
      <c r="AH96" s="110">
        <f t="shared" si="221"/>
        <v>20</v>
      </c>
      <c r="AI96" s="110">
        <f t="shared" si="221"/>
        <v>12</v>
      </c>
      <c r="AJ96" s="110">
        <f t="shared" si="221"/>
        <v>5</v>
      </c>
      <c r="AK96" s="110">
        <f t="shared" si="221"/>
        <v>3</v>
      </c>
      <c r="AL96" s="110">
        <f t="shared" si="221"/>
        <v>0</v>
      </c>
      <c r="AM96" s="110">
        <f t="shared" si="221"/>
        <v>322</v>
      </c>
      <c r="AP96" s="51" t="s">
        <v>103</v>
      </c>
      <c r="AQ96" s="51" t="b">
        <f t="shared" si="172"/>
        <v>1</v>
      </c>
    </row>
    <row r="97" ht="14.25" customHeight="1" spans="1:43">
      <c r="A97" s="71" t="s">
        <v>104</v>
      </c>
      <c r="B97" s="72">
        <f t="shared" ref="B97:B99" si="222">C97+D97</f>
        <v>-1</v>
      </c>
      <c r="C97" s="72">
        <f t="shared" ref="C97:C99" si="223">I97-O97+H97</f>
        <v>-1</v>
      </c>
      <c r="D97" s="72">
        <f t="shared" ref="D97:D99" si="224">K97-P97</f>
        <v>0</v>
      </c>
      <c r="E97" s="72">
        <f t="shared" ref="E96:E99" si="225">M97-Q97</f>
        <v>0</v>
      </c>
      <c r="F97" s="72">
        <f t="shared" si="173"/>
        <v>0</v>
      </c>
      <c r="G97" s="73">
        <f t="shared" ref="G97:G99" si="226">I97+K97+H97</f>
        <v>13</v>
      </c>
      <c r="H97" s="73">
        <f>ROUND($X$2/$U$6*U97,0)</f>
        <v>0</v>
      </c>
      <c r="I97" s="86">
        <f t="shared" ref="I97:I99" si="227">ROUND(24000/24412*J97,0)</f>
        <v>8</v>
      </c>
      <c r="J97" s="86">
        <f>ROUND($R$2*T97*U97/$U$6,0)</f>
        <v>8</v>
      </c>
      <c r="K97" s="86">
        <f t="shared" ref="K97:K99" si="228">ROUND(16000/16274*L97,0)</f>
        <v>5</v>
      </c>
      <c r="L97" s="86">
        <f>ROUND($Y$2*T97*U97/$U$6,0)</f>
        <v>5</v>
      </c>
      <c r="M97" s="86">
        <f>ROUND(8040*X97/$X$6,0)</f>
        <v>0</v>
      </c>
      <c r="N97" s="87">
        <f t="shared" ref="N97:N99" si="229">O97+P97</f>
        <v>14</v>
      </c>
      <c r="O97" s="87">
        <v>9</v>
      </c>
      <c r="P97" s="87">
        <v>5</v>
      </c>
      <c r="Q97" s="104">
        <v>0</v>
      </c>
      <c r="R97" s="104">
        <f t="shared" si="174"/>
        <v>5</v>
      </c>
      <c r="S97" s="105"/>
      <c r="T97" s="106">
        <f t="shared" ref="T97:T99" si="230">AO97</f>
        <v>1.1</v>
      </c>
      <c r="U97" s="107">
        <f t="shared" ref="U97:U99" si="231">V97+W97</f>
        <v>390</v>
      </c>
      <c r="V97" s="108">
        <v>135</v>
      </c>
      <c r="W97" s="108">
        <v>255</v>
      </c>
      <c r="X97" s="109">
        <f t="shared" ref="X97:X99" si="232">Y97+Z97</f>
        <v>0</v>
      </c>
      <c r="Y97" s="118"/>
      <c r="Z97" s="118"/>
      <c r="AA97" s="108">
        <v>239</v>
      </c>
      <c r="AB97" s="108">
        <v>239</v>
      </c>
      <c r="AC97" s="108"/>
      <c r="AD97" s="108"/>
      <c r="AE97" s="108">
        <v>373</v>
      </c>
      <c r="AF97" s="108">
        <v>373</v>
      </c>
      <c r="AG97" s="108"/>
      <c r="AH97" s="123">
        <f t="shared" ref="AH97:AH99" si="233">AI97+AJ97+AK97</f>
        <v>0</v>
      </c>
      <c r="AI97" s="124">
        <f t="shared" ref="AI97:AI99" si="234">ROUND((AL97*800+AM97*600)*0.6/10000,0)</f>
        <v>0</v>
      </c>
      <c r="AJ97" s="124">
        <f t="shared" ref="AJ97:AJ99" si="235">ROUND((AL97*800+AM97*600)*0.24/10000,0)</f>
        <v>0</v>
      </c>
      <c r="AK97" s="124">
        <f t="shared" ref="AK97:AK99" si="236">ROUND((AL97*800+AM97*600)*0.16/10000,0)</f>
        <v>0</v>
      </c>
      <c r="AL97" s="125"/>
      <c r="AM97" s="125"/>
      <c r="AO97" s="51">
        <f t="shared" ref="AO97:AO99" si="237">IF(U97&gt;=30000,IF(U97&gt;50000,IF(U97&gt;70000,0.8,0.9),1),1.1)</f>
        <v>1.1</v>
      </c>
      <c r="AP97" s="51" t="s">
        <v>104</v>
      </c>
      <c r="AQ97" s="51" t="b">
        <f t="shared" si="172"/>
        <v>1</v>
      </c>
    </row>
    <row r="98" ht="14.25" customHeight="1" spans="1:43">
      <c r="A98" s="71" t="s">
        <v>105</v>
      </c>
      <c r="B98" s="72">
        <f t="shared" si="222"/>
        <v>0</v>
      </c>
      <c r="C98" s="72">
        <f t="shared" si="223"/>
        <v>0</v>
      </c>
      <c r="D98" s="72">
        <f t="shared" si="224"/>
        <v>0</v>
      </c>
      <c r="E98" s="72">
        <f t="shared" si="225"/>
        <v>0</v>
      </c>
      <c r="F98" s="72">
        <f t="shared" si="173"/>
        <v>0</v>
      </c>
      <c r="G98" s="73">
        <f t="shared" si="226"/>
        <v>2</v>
      </c>
      <c r="H98" s="73">
        <f>ROUND($X$2/$U$6*U98,0)</f>
        <v>0</v>
      </c>
      <c r="I98" s="86">
        <f t="shared" si="227"/>
        <v>1</v>
      </c>
      <c r="J98" s="86">
        <f>ROUND($R$2*T98*U98/$U$6,0)</f>
        <v>1</v>
      </c>
      <c r="K98" s="86">
        <f t="shared" si="228"/>
        <v>1</v>
      </c>
      <c r="L98" s="86">
        <f>ROUND($Y$2*T98*U98/$U$6,0)</f>
        <v>1</v>
      </c>
      <c r="M98" s="86">
        <f t="shared" ref="M97:M99" si="238">ROUND(8040*X98/$X$6,0)</f>
        <v>0</v>
      </c>
      <c r="N98" s="87">
        <f t="shared" si="229"/>
        <v>2</v>
      </c>
      <c r="O98" s="87">
        <v>1</v>
      </c>
      <c r="P98" s="87">
        <v>1</v>
      </c>
      <c r="Q98" s="104">
        <v>0</v>
      </c>
      <c r="R98" s="104">
        <f t="shared" si="174"/>
        <v>1</v>
      </c>
      <c r="S98" s="105"/>
      <c r="T98" s="106">
        <f t="shared" si="230"/>
        <v>1.1</v>
      </c>
      <c r="U98" s="107">
        <f t="shared" si="231"/>
        <v>63</v>
      </c>
      <c r="V98" s="108">
        <v>17</v>
      </c>
      <c r="W98" s="108">
        <v>46</v>
      </c>
      <c r="X98" s="109">
        <f t="shared" si="232"/>
        <v>0</v>
      </c>
      <c r="Y98" s="118"/>
      <c r="Z98" s="118"/>
      <c r="AA98" s="108">
        <v>39</v>
      </c>
      <c r="AB98" s="108">
        <v>39</v>
      </c>
      <c r="AC98" s="108"/>
      <c r="AD98" s="108"/>
      <c r="AE98" s="108">
        <v>61</v>
      </c>
      <c r="AF98" s="108">
        <v>61</v>
      </c>
      <c r="AG98" s="108"/>
      <c r="AH98" s="123">
        <f t="shared" si="233"/>
        <v>0</v>
      </c>
      <c r="AI98" s="124">
        <f t="shared" si="234"/>
        <v>0</v>
      </c>
      <c r="AJ98" s="124">
        <f t="shared" si="235"/>
        <v>0</v>
      </c>
      <c r="AK98" s="124">
        <f t="shared" si="236"/>
        <v>0</v>
      </c>
      <c r="AL98" s="125"/>
      <c r="AM98" s="125"/>
      <c r="AO98" s="51">
        <f t="shared" si="237"/>
        <v>1.1</v>
      </c>
      <c r="AP98" s="51" t="s">
        <v>105</v>
      </c>
      <c r="AQ98" s="51" t="b">
        <f t="shared" si="172"/>
        <v>1</v>
      </c>
    </row>
    <row r="99" ht="14.25" customHeight="1" spans="1:43">
      <c r="A99" s="71" t="s">
        <v>106</v>
      </c>
      <c r="B99" s="72">
        <f t="shared" si="222"/>
        <v>14</v>
      </c>
      <c r="C99" s="72">
        <f t="shared" si="223"/>
        <v>10</v>
      </c>
      <c r="D99" s="72">
        <f t="shared" si="224"/>
        <v>4</v>
      </c>
      <c r="E99" s="72">
        <f t="shared" si="225"/>
        <v>0</v>
      </c>
      <c r="F99" s="72">
        <f t="shared" si="173"/>
        <v>4</v>
      </c>
      <c r="G99" s="73">
        <f t="shared" si="226"/>
        <v>104</v>
      </c>
      <c r="H99" s="73">
        <f>ROUND($X$2/$U$6*U99,0)</f>
        <v>3</v>
      </c>
      <c r="I99" s="86">
        <f t="shared" si="227"/>
        <v>61</v>
      </c>
      <c r="J99" s="86">
        <f>ROUND($R$2*T99*U99/$U$6,0)</f>
        <v>62</v>
      </c>
      <c r="K99" s="86">
        <f t="shared" si="228"/>
        <v>40</v>
      </c>
      <c r="L99" s="86">
        <f>ROUND($Y$2*T99*U99/$U$6,0)</f>
        <v>41</v>
      </c>
      <c r="M99" s="86">
        <f t="shared" si="238"/>
        <v>0</v>
      </c>
      <c r="N99" s="87">
        <f t="shared" si="229"/>
        <v>90</v>
      </c>
      <c r="O99" s="87">
        <v>54</v>
      </c>
      <c r="P99" s="87">
        <v>36</v>
      </c>
      <c r="Q99" s="104">
        <v>0</v>
      </c>
      <c r="R99" s="104">
        <f t="shared" si="174"/>
        <v>36</v>
      </c>
      <c r="S99" s="105"/>
      <c r="T99" s="106">
        <f t="shared" si="230"/>
        <v>1.1</v>
      </c>
      <c r="U99" s="107">
        <f t="shared" si="231"/>
        <v>2928</v>
      </c>
      <c r="V99" s="108">
        <v>788</v>
      </c>
      <c r="W99" s="108">
        <v>2140</v>
      </c>
      <c r="X99" s="109">
        <f t="shared" si="232"/>
        <v>0</v>
      </c>
      <c r="Y99" s="118"/>
      <c r="Z99" s="118"/>
      <c r="AA99" s="108">
        <v>844</v>
      </c>
      <c r="AB99" s="108">
        <v>844</v>
      </c>
      <c r="AC99" s="108"/>
      <c r="AD99" s="108"/>
      <c r="AE99" s="108">
        <v>1964</v>
      </c>
      <c r="AF99" s="108">
        <v>1964</v>
      </c>
      <c r="AG99" s="108">
        <v>10</v>
      </c>
      <c r="AH99" s="123">
        <f t="shared" si="233"/>
        <v>20</v>
      </c>
      <c r="AI99" s="124">
        <f t="shared" si="234"/>
        <v>12</v>
      </c>
      <c r="AJ99" s="124">
        <f t="shared" si="235"/>
        <v>5</v>
      </c>
      <c r="AK99" s="124">
        <f t="shared" si="236"/>
        <v>3</v>
      </c>
      <c r="AL99" s="125"/>
      <c r="AM99" s="125">
        <v>322</v>
      </c>
      <c r="AO99" s="51">
        <f t="shared" si="237"/>
        <v>1.1</v>
      </c>
      <c r="AP99" s="51" t="s">
        <v>106</v>
      </c>
      <c r="AQ99" s="51" t="b">
        <f t="shared" si="172"/>
        <v>1</v>
      </c>
    </row>
    <row r="100" ht="87.95" customHeight="1"/>
  </sheetData>
  <mergeCells count="21">
    <mergeCell ref="A2:D2"/>
    <mergeCell ref="A3:D3"/>
    <mergeCell ref="G4:L4"/>
    <mergeCell ref="N4:P4"/>
    <mergeCell ref="U4:W4"/>
    <mergeCell ref="X4:Z4"/>
    <mergeCell ref="AA4:AC4"/>
    <mergeCell ref="AE4:AG4"/>
    <mergeCell ref="AH4:AK4"/>
    <mergeCell ref="AL4:AM4"/>
    <mergeCell ref="A4:A5"/>
    <mergeCell ref="B4:B5"/>
    <mergeCell ref="C4:C5"/>
    <mergeCell ref="D4:D5"/>
    <mergeCell ref="E4:E5"/>
    <mergeCell ref="F4:F5"/>
    <mergeCell ref="M4:M5"/>
    <mergeCell ref="Q4:Q5"/>
    <mergeCell ref="R4:R5"/>
    <mergeCell ref="S4:S5"/>
    <mergeCell ref="T4:T5"/>
  </mergeCells>
  <printOptions horizontalCentered="1" verticalCentered="1"/>
  <pageMargins left="0.393055555555556" right="0.354166666666667" top="0.354166666666667" bottom="0.275" header="0.309027777777778" footer="0.15625"/>
  <pageSetup paperSize="9" orientation="portrait"/>
  <headerFooter alignWithMargins="0" scaleWithDoc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 tint="0.8"/>
    <pageSetUpPr autoPageBreaks="0"/>
  </sheetPr>
  <dimension ref="A1:AE84"/>
  <sheetViews>
    <sheetView showZeros="0" zoomScale="85" zoomScaleNormal="85" workbookViewId="0">
      <pane xSplit="1" ySplit="6" topLeftCell="B7" activePane="bottomRight" state="frozen"/>
      <selection/>
      <selection pane="topRight"/>
      <selection pane="bottomLeft"/>
      <selection pane="bottomRight" activeCell="M31" sqref="M31"/>
    </sheetView>
  </sheetViews>
  <sheetFormatPr defaultColWidth="9" defaultRowHeight="14.25"/>
  <cols>
    <col min="1" max="1" width="15.875" style="2" customWidth="1"/>
    <col min="2" max="2" width="8" style="2" customWidth="1"/>
    <col min="3" max="3" width="10.875" style="2" customWidth="1"/>
    <col min="4" max="5" width="9.875" style="2" customWidth="1"/>
    <col min="6" max="6" width="6.5" style="2" customWidth="1"/>
    <col min="7" max="7" width="8.25" style="2" customWidth="1"/>
    <col min="8" max="9" width="6.5" style="2" customWidth="1"/>
    <col min="10" max="10" width="6.375" style="2" customWidth="1"/>
    <col min="11" max="11" width="8.25" style="2" customWidth="1"/>
    <col min="12" max="13" width="7.25" style="2" customWidth="1"/>
    <col min="14" max="15" width="9" style="2"/>
    <col min="16" max="17" width="11.5" style="2" customWidth="1"/>
    <col min="18" max="23" width="9" style="2"/>
    <col min="24" max="24" width="12.625" style="2"/>
    <col min="25" max="25" width="9" style="2"/>
    <col min="26" max="26" width="9.25" style="2"/>
    <col min="27" max="27" width="16" style="2" customWidth="1"/>
    <col min="28" max="28" width="16.875" style="2" customWidth="1"/>
    <col min="29" max="29" width="14" style="2" customWidth="1"/>
    <col min="30" max="30" width="12.625" style="2"/>
    <col min="31" max="16384" width="9" style="2"/>
  </cols>
  <sheetData>
    <row r="1" ht="13.5" spans="1:1">
      <c r="A1" s="3" t="s">
        <v>168</v>
      </c>
    </row>
    <row r="2" ht="22.5" customHeight="1" spans="1:16">
      <c r="A2" s="4" t="s">
        <v>169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P2" s="28">
        <v>356</v>
      </c>
    </row>
    <row r="3" ht="12" customHeight="1" spans="1:13">
      <c r="A3" s="5" t="s">
        <v>170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3.25" customHeight="1" spans="1:14">
      <c r="A4" s="6" t="s">
        <v>125</v>
      </c>
      <c r="B4" s="7" t="s">
        <v>171</v>
      </c>
      <c r="C4" s="7"/>
      <c r="D4" s="7"/>
      <c r="E4" s="8" t="s">
        <v>172</v>
      </c>
      <c r="F4" s="9" t="s">
        <v>173</v>
      </c>
      <c r="G4" s="10"/>
      <c r="H4" s="10"/>
      <c r="I4" s="10"/>
      <c r="J4" s="10"/>
      <c r="K4" s="10"/>
      <c r="L4" s="10"/>
      <c r="M4" s="29"/>
      <c r="N4" s="6" t="s">
        <v>131</v>
      </c>
    </row>
    <row r="5" ht="20.25" customHeight="1" spans="1:14">
      <c r="A5" s="6"/>
      <c r="B5" s="7" t="s">
        <v>13</v>
      </c>
      <c r="C5" s="7" t="s">
        <v>174</v>
      </c>
      <c r="D5" s="7" t="s">
        <v>175</v>
      </c>
      <c r="E5" s="11"/>
      <c r="F5" s="9" t="s">
        <v>176</v>
      </c>
      <c r="G5" s="10"/>
      <c r="H5" s="10"/>
      <c r="I5" s="29"/>
      <c r="J5" s="9" t="s">
        <v>177</v>
      </c>
      <c r="K5" s="10"/>
      <c r="L5" s="10"/>
      <c r="M5" s="29"/>
      <c r="N5" s="6"/>
    </row>
    <row r="6" ht="57.95" customHeight="1" spans="1:30">
      <c r="A6" s="6"/>
      <c r="B6" s="7"/>
      <c r="C6" s="7"/>
      <c r="D6" s="7"/>
      <c r="E6" s="12"/>
      <c r="F6" s="13" t="s">
        <v>13</v>
      </c>
      <c r="G6" s="13" t="s">
        <v>178</v>
      </c>
      <c r="H6" s="13" t="s">
        <v>179</v>
      </c>
      <c r="I6" s="13" t="s">
        <v>180</v>
      </c>
      <c r="J6" s="13" t="s">
        <v>13</v>
      </c>
      <c r="K6" s="13" t="s">
        <v>178</v>
      </c>
      <c r="L6" s="13" t="s">
        <v>179</v>
      </c>
      <c r="M6" s="13" t="s">
        <v>180</v>
      </c>
      <c r="N6" s="6"/>
      <c r="AA6" s="31" t="s">
        <v>181</v>
      </c>
      <c r="AB6" s="32" t="s">
        <v>182</v>
      </c>
      <c r="AC6" s="32" t="s">
        <v>183</v>
      </c>
      <c r="AD6" s="32" t="s">
        <v>184</v>
      </c>
    </row>
    <row r="7" ht="18" customHeight="1" spans="1:31">
      <c r="A7" s="6" t="s">
        <v>185</v>
      </c>
      <c r="B7" s="14">
        <f t="shared" ref="B7:M7" si="0">SUM(B8,B11:B19,B21:B34,B37:B46,B48:B52,B61)</f>
        <v>24663</v>
      </c>
      <c r="C7" s="14">
        <f t="shared" si="0"/>
        <v>11875.2</v>
      </c>
      <c r="D7" s="14">
        <f t="shared" si="0"/>
        <v>12787.8</v>
      </c>
      <c r="E7" s="15">
        <f t="shared" si="0"/>
        <v>356</v>
      </c>
      <c r="F7" s="14">
        <f t="shared" si="0"/>
        <v>3743</v>
      </c>
      <c r="G7" s="14">
        <f t="shared" si="0"/>
        <v>1110</v>
      </c>
      <c r="H7" s="14">
        <f t="shared" si="0"/>
        <v>1380</v>
      </c>
      <c r="I7" s="14">
        <f t="shared" si="0"/>
        <v>1253</v>
      </c>
      <c r="J7" s="14">
        <f t="shared" si="0"/>
        <v>4066</v>
      </c>
      <c r="K7" s="14">
        <f t="shared" si="0"/>
        <v>1298</v>
      </c>
      <c r="L7" s="14">
        <f t="shared" si="0"/>
        <v>1400</v>
      </c>
      <c r="M7" s="14">
        <f t="shared" si="0"/>
        <v>1368</v>
      </c>
      <c r="N7" s="27"/>
      <c r="P7" s="2">
        <f>1500*3.16*4/12</f>
        <v>1580</v>
      </c>
      <c r="Q7" s="2">
        <f>P7+D7</f>
        <v>14367.8</v>
      </c>
      <c r="R7" s="2">
        <v>340</v>
      </c>
      <c r="Z7" s="33">
        <f>SUM(AA7:AD7)</f>
        <v>3572.84</v>
      </c>
      <c r="AA7" s="34">
        <f>G7*(3.52-3.16)/12*14</f>
        <v>466.2</v>
      </c>
      <c r="AB7" s="34">
        <f>H7*(3.52-3.16)/12*18</f>
        <v>745.2</v>
      </c>
      <c r="AC7" s="34">
        <f>I7*(3.52-3.16)/12*16</f>
        <v>601.44</v>
      </c>
      <c r="AD7" s="34">
        <f>1500*3.52*4/12</f>
        <v>1760</v>
      </c>
      <c r="AE7" s="35"/>
    </row>
    <row r="8" s="1" customFormat="1" ht="16.5" customHeight="1" spans="1:31">
      <c r="A8" s="6" t="s">
        <v>25</v>
      </c>
      <c r="B8" s="14">
        <f t="shared" ref="B8:M8" si="1">SUM(B9:B10)</f>
        <v>1105</v>
      </c>
      <c r="C8" s="14">
        <f t="shared" si="1"/>
        <v>0</v>
      </c>
      <c r="D8" s="14">
        <f t="shared" si="1"/>
        <v>1105</v>
      </c>
      <c r="E8" s="15">
        <f>ROUND($P$2/$F$7*F8,0)</f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348</v>
      </c>
      <c r="K8" s="14">
        <f t="shared" si="1"/>
        <v>102</v>
      </c>
      <c r="L8" s="14">
        <f t="shared" si="1"/>
        <v>119</v>
      </c>
      <c r="M8" s="14">
        <f t="shared" si="1"/>
        <v>127</v>
      </c>
      <c r="N8" s="30" t="s">
        <v>165</v>
      </c>
      <c r="P8" s="2"/>
      <c r="Q8" s="1">
        <f>Q7+R7</f>
        <v>14707.8</v>
      </c>
      <c r="S8" s="1" t="e">
        <v>#N/A</v>
      </c>
      <c r="T8" s="2" t="e">
        <f t="shared" ref="T8:T61" si="2">S8=M8</f>
        <v>#N/A</v>
      </c>
      <c r="Z8" s="36">
        <v>3615</v>
      </c>
      <c r="AE8" s="37"/>
    </row>
    <row r="9" ht="17.25" customHeight="1" spans="1:31">
      <c r="A9" s="16" t="s">
        <v>186</v>
      </c>
      <c r="B9" s="17">
        <f t="shared" ref="B9:B18" si="3">SUM(C9:D9)</f>
        <v>629</v>
      </c>
      <c r="C9" s="17">
        <f t="shared" ref="C9:C18" si="4">ROUND((I9*3.52+H9*3.52+G9*3.52/12*8),0)</f>
        <v>0</v>
      </c>
      <c r="D9" s="17">
        <f t="shared" ref="D9:D18" si="5">ROUND((M9*3.52+L9*3.52+K9*3.52/12*8),0)</f>
        <v>629</v>
      </c>
      <c r="E9" s="15">
        <f>ROUND($P$2/$F$7*F9,0)</f>
        <v>0</v>
      </c>
      <c r="F9" s="18">
        <f t="shared" ref="F9:F18" si="6">SUM(G9:I9)</f>
        <v>0</v>
      </c>
      <c r="G9" s="18"/>
      <c r="H9" s="19"/>
      <c r="I9" s="19"/>
      <c r="J9" s="18">
        <f t="shared" ref="J9:J18" si="7">SUM(K9:M9)</f>
        <v>197</v>
      </c>
      <c r="K9" s="18">
        <v>55</v>
      </c>
      <c r="L9" s="19">
        <v>73</v>
      </c>
      <c r="M9" s="19">
        <v>69</v>
      </c>
      <c r="N9" s="30" t="s">
        <v>165</v>
      </c>
      <c r="S9" s="1">
        <v>73</v>
      </c>
      <c r="T9" s="2" t="b">
        <f t="shared" si="2"/>
        <v>0</v>
      </c>
      <c r="X9" s="2" t="s">
        <v>187</v>
      </c>
      <c r="Y9" s="2" t="s">
        <v>188</v>
      </c>
      <c r="Z9" s="38">
        <f>Z7-Z8</f>
        <v>-42.1600000000008</v>
      </c>
      <c r="AA9" s="39"/>
      <c r="AB9" s="39"/>
      <c r="AC9" s="39"/>
      <c r="AD9" s="39">
        <f>Z9/(3.52*4/12)</f>
        <v>-35.9318181818188</v>
      </c>
      <c r="AE9" s="40">
        <v>1460</v>
      </c>
    </row>
    <row r="10" ht="17.25" customHeight="1" spans="1:31">
      <c r="A10" s="20" t="s">
        <v>38</v>
      </c>
      <c r="B10" s="17">
        <f t="shared" si="3"/>
        <v>476</v>
      </c>
      <c r="C10" s="17">
        <f t="shared" si="4"/>
        <v>0</v>
      </c>
      <c r="D10" s="17">
        <f t="shared" si="5"/>
        <v>476</v>
      </c>
      <c r="E10" s="15">
        <f>ROUND($P$2/$F$7*F10,0)</f>
        <v>0</v>
      </c>
      <c r="F10" s="18">
        <f t="shared" si="6"/>
        <v>0</v>
      </c>
      <c r="G10" s="18"/>
      <c r="H10" s="19"/>
      <c r="I10" s="19"/>
      <c r="J10" s="18">
        <f t="shared" si="7"/>
        <v>151</v>
      </c>
      <c r="K10" s="18">
        <v>47</v>
      </c>
      <c r="L10" s="19">
        <v>46</v>
      </c>
      <c r="M10" s="19">
        <v>58</v>
      </c>
      <c r="N10" s="30" t="s">
        <v>165</v>
      </c>
      <c r="S10" s="1">
        <v>47</v>
      </c>
      <c r="T10" s="2" t="b">
        <f t="shared" si="2"/>
        <v>0</v>
      </c>
      <c r="X10" s="2">
        <v>1500</v>
      </c>
      <c r="Y10" s="2">
        <v>1500</v>
      </c>
      <c r="Z10" s="41">
        <f>SUM(AA10:AD10)</f>
        <v>3717.8</v>
      </c>
      <c r="AA10" s="34">
        <f>K7*(3.52-3.16)*14/12</f>
        <v>545.16</v>
      </c>
      <c r="AB10" s="34">
        <f>L7*(3.52-3.16)*18/12</f>
        <v>756</v>
      </c>
      <c r="AC10" s="34">
        <f>M7*(3.52-3.16)*16/12</f>
        <v>656.64</v>
      </c>
      <c r="AD10" s="34">
        <f>1500*3.52*4/12</f>
        <v>1760</v>
      </c>
      <c r="AE10" s="35"/>
    </row>
    <row r="11" ht="17.25" customHeight="1" spans="1:31">
      <c r="A11" s="6" t="s">
        <v>40</v>
      </c>
      <c r="B11" s="17">
        <f t="shared" si="3"/>
        <v>977</v>
      </c>
      <c r="C11" s="17">
        <f t="shared" si="4"/>
        <v>977</v>
      </c>
      <c r="D11" s="17">
        <f t="shared" si="5"/>
        <v>0</v>
      </c>
      <c r="E11" s="15">
        <f>ROUND($P$2/$F$7*F11,0)</f>
        <v>29</v>
      </c>
      <c r="F11" s="18">
        <f t="shared" si="6"/>
        <v>310</v>
      </c>
      <c r="G11" s="18">
        <v>97</v>
      </c>
      <c r="H11" s="19">
        <v>99</v>
      </c>
      <c r="I11" s="19">
        <v>114</v>
      </c>
      <c r="J11" s="18">
        <f t="shared" si="7"/>
        <v>0</v>
      </c>
      <c r="K11" s="18"/>
      <c r="L11" s="19"/>
      <c r="M11" s="19"/>
      <c r="N11" s="30" t="s">
        <v>165</v>
      </c>
      <c r="S11" s="1" t="e">
        <v>#N/A</v>
      </c>
      <c r="T11" s="2" t="e">
        <f t="shared" si="2"/>
        <v>#N/A</v>
      </c>
      <c r="X11" s="2">
        <f>3.16*X10</f>
        <v>4740</v>
      </c>
      <c r="Y11" s="2">
        <f>3.16*Y10</f>
        <v>4740</v>
      </c>
      <c r="Z11" s="42">
        <v>2077</v>
      </c>
      <c r="AE11" s="43"/>
    </row>
    <row r="12" ht="17.25" customHeight="1" spans="1:31">
      <c r="A12" s="21" t="s">
        <v>41</v>
      </c>
      <c r="B12" s="17">
        <f t="shared" si="3"/>
        <v>1002</v>
      </c>
      <c r="C12" s="17">
        <f t="shared" si="4"/>
        <v>0</v>
      </c>
      <c r="D12" s="17">
        <f t="shared" si="5"/>
        <v>1002</v>
      </c>
      <c r="E12" s="15">
        <f>ROUND($P$2/$F$7*F12,0)</f>
        <v>0</v>
      </c>
      <c r="F12" s="18">
        <f t="shared" si="6"/>
        <v>0</v>
      </c>
      <c r="G12" s="18"/>
      <c r="H12" s="19"/>
      <c r="I12" s="19"/>
      <c r="J12" s="18">
        <f t="shared" si="7"/>
        <v>320</v>
      </c>
      <c r="K12" s="18">
        <v>106</v>
      </c>
      <c r="L12" s="19">
        <v>109</v>
      </c>
      <c r="M12" s="19">
        <v>105</v>
      </c>
      <c r="N12" s="30" t="s">
        <v>165</v>
      </c>
      <c r="P12" s="2" t="s">
        <v>189</v>
      </c>
      <c r="S12" s="1">
        <v>109</v>
      </c>
      <c r="T12" s="2" t="b">
        <f t="shared" si="2"/>
        <v>0</v>
      </c>
      <c r="Z12" s="38">
        <f>Z10-Z11</f>
        <v>1640.8</v>
      </c>
      <c r="AA12" s="39"/>
      <c r="AB12" s="39"/>
      <c r="AC12" s="39"/>
      <c r="AD12" s="39">
        <f>Z12/(3.52*4/12)</f>
        <v>1398.40909090909</v>
      </c>
      <c r="AE12" s="40"/>
    </row>
    <row r="13" ht="17.25" customHeight="1" spans="1:20">
      <c r="A13" s="21" t="s">
        <v>42</v>
      </c>
      <c r="B13" s="17">
        <f t="shared" si="3"/>
        <v>1043</v>
      </c>
      <c r="C13" s="17">
        <f t="shared" si="4"/>
        <v>0</v>
      </c>
      <c r="D13" s="17">
        <f t="shared" si="5"/>
        <v>1043</v>
      </c>
      <c r="E13" s="15">
        <f>ROUND($P$2/$F$7*F13,0)</f>
        <v>0</v>
      </c>
      <c r="F13" s="18">
        <f t="shared" si="6"/>
        <v>0</v>
      </c>
      <c r="G13" s="18"/>
      <c r="H13" s="19"/>
      <c r="I13" s="19"/>
      <c r="J13" s="18">
        <f t="shared" si="7"/>
        <v>335</v>
      </c>
      <c r="K13" s="18">
        <v>116</v>
      </c>
      <c r="L13" s="19">
        <v>113</v>
      </c>
      <c r="M13" s="19">
        <v>106</v>
      </c>
      <c r="N13" s="30" t="s">
        <v>165</v>
      </c>
      <c r="O13" s="2">
        <v>1</v>
      </c>
      <c r="S13" s="1">
        <v>113</v>
      </c>
      <c r="T13" s="2" t="b">
        <f t="shared" si="2"/>
        <v>0</v>
      </c>
    </row>
    <row r="14" ht="17.25" customHeight="1" spans="1:20">
      <c r="A14" s="21" t="s">
        <v>49</v>
      </c>
      <c r="B14" s="17">
        <f t="shared" si="3"/>
        <v>662</v>
      </c>
      <c r="C14" s="17">
        <f t="shared" si="4"/>
        <v>662</v>
      </c>
      <c r="D14" s="17">
        <f t="shared" si="5"/>
        <v>0</v>
      </c>
      <c r="E14" s="15">
        <f>ROUND($P$2/$F$7*F14,0)</f>
        <v>18</v>
      </c>
      <c r="F14" s="18">
        <f t="shared" si="6"/>
        <v>188</v>
      </c>
      <c r="G14" s="18"/>
      <c r="H14" s="19">
        <v>92</v>
      </c>
      <c r="I14" s="19">
        <v>96</v>
      </c>
      <c r="J14" s="18">
        <f t="shared" si="7"/>
        <v>0</v>
      </c>
      <c r="K14" s="18"/>
      <c r="L14" s="19"/>
      <c r="M14" s="19"/>
      <c r="N14" s="30" t="s">
        <v>165</v>
      </c>
      <c r="O14" s="2">
        <v>2</v>
      </c>
      <c r="S14" s="1" t="e">
        <v>#N/A</v>
      </c>
      <c r="T14" s="2" t="e">
        <f t="shared" si="2"/>
        <v>#N/A</v>
      </c>
    </row>
    <row r="15" ht="17.25" customHeight="1" spans="1:20">
      <c r="A15" s="21" t="s">
        <v>50</v>
      </c>
      <c r="B15" s="17">
        <f t="shared" si="3"/>
        <v>306</v>
      </c>
      <c r="C15" s="17">
        <f t="shared" si="4"/>
        <v>0</v>
      </c>
      <c r="D15" s="17">
        <f t="shared" si="5"/>
        <v>306</v>
      </c>
      <c r="E15" s="15">
        <f>ROUND($P$2/$F$7*F15,0)</f>
        <v>0</v>
      </c>
      <c r="F15" s="18">
        <f t="shared" si="6"/>
        <v>0</v>
      </c>
      <c r="G15" s="18"/>
      <c r="H15" s="19"/>
      <c r="I15" s="19"/>
      <c r="J15" s="18">
        <f t="shared" si="7"/>
        <v>87</v>
      </c>
      <c r="K15" s="18"/>
      <c r="L15" s="19">
        <v>53</v>
      </c>
      <c r="M15" s="19">
        <v>34</v>
      </c>
      <c r="N15" s="30" t="s">
        <v>165</v>
      </c>
      <c r="O15" s="2">
        <v>3</v>
      </c>
      <c r="S15" s="1">
        <v>55</v>
      </c>
      <c r="T15" s="2" t="b">
        <f t="shared" si="2"/>
        <v>0</v>
      </c>
    </row>
    <row r="16" ht="17.25" customHeight="1" spans="1:20">
      <c r="A16" s="21" t="s">
        <v>52</v>
      </c>
      <c r="B16" s="17">
        <f t="shared" si="3"/>
        <v>408</v>
      </c>
      <c r="C16" s="17">
        <f t="shared" si="4"/>
        <v>408</v>
      </c>
      <c r="D16" s="17">
        <f t="shared" si="5"/>
        <v>0</v>
      </c>
      <c r="E16" s="15">
        <f>ROUND($P$2/$F$7*F16,0)</f>
        <v>11</v>
      </c>
      <c r="F16" s="18">
        <f t="shared" si="6"/>
        <v>116</v>
      </c>
      <c r="G16" s="18"/>
      <c r="H16" s="19">
        <v>47</v>
      </c>
      <c r="I16" s="19">
        <v>69</v>
      </c>
      <c r="J16" s="18">
        <f t="shared" si="7"/>
        <v>0</v>
      </c>
      <c r="K16" s="18"/>
      <c r="L16" s="19"/>
      <c r="M16" s="19"/>
      <c r="N16" s="30" t="s">
        <v>165</v>
      </c>
      <c r="O16" s="2">
        <v>4</v>
      </c>
      <c r="S16" s="1" t="e">
        <v>#N/A</v>
      </c>
      <c r="T16" s="2" t="e">
        <f t="shared" si="2"/>
        <v>#N/A</v>
      </c>
    </row>
    <row r="17" ht="17.25" customHeight="1" spans="1:20">
      <c r="A17" s="21" t="s">
        <v>53</v>
      </c>
      <c r="B17" s="17">
        <f t="shared" si="3"/>
        <v>408</v>
      </c>
      <c r="C17" s="17">
        <f t="shared" si="4"/>
        <v>0</v>
      </c>
      <c r="D17" s="17">
        <f t="shared" si="5"/>
        <v>408</v>
      </c>
      <c r="E17" s="15">
        <f>ROUND($P$2/$F$7*F17,0)</f>
        <v>0</v>
      </c>
      <c r="F17" s="18">
        <f t="shared" si="6"/>
        <v>0</v>
      </c>
      <c r="G17" s="18"/>
      <c r="H17" s="19"/>
      <c r="I17" s="19"/>
      <c r="J17" s="18">
        <f t="shared" si="7"/>
        <v>116</v>
      </c>
      <c r="K17" s="18"/>
      <c r="L17" s="19">
        <v>57</v>
      </c>
      <c r="M17" s="19">
        <v>59</v>
      </c>
      <c r="N17" s="30" t="s">
        <v>165</v>
      </c>
      <c r="O17" s="2">
        <v>5</v>
      </c>
      <c r="S17" s="1">
        <v>57</v>
      </c>
      <c r="T17" s="2" t="b">
        <f t="shared" si="2"/>
        <v>0</v>
      </c>
    </row>
    <row r="18" ht="17.25" customHeight="1" spans="1:20">
      <c r="A18" s="21" t="s">
        <v>51</v>
      </c>
      <c r="B18" s="17">
        <f t="shared" si="3"/>
        <v>0</v>
      </c>
      <c r="C18" s="17">
        <f t="shared" si="4"/>
        <v>0</v>
      </c>
      <c r="D18" s="17">
        <f t="shared" si="5"/>
        <v>0</v>
      </c>
      <c r="E18" s="15">
        <f>ROUND($P$2/$F$7*F18,0)</f>
        <v>0</v>
      </c>
      <c r="F18" s="18">
        <f t="shared" si="6"/>
        <v>0</v>
      </c>
      <c r="G18" s="18"/>
      <c r="H18" s="19"/>
      <c r="I18" s="19"/>
      <c r="J18" s="18">
        <f t="shared" si="7"/>
        <v>0</v>
      </c>
      <c r="K18" s="18"/>
      <c r="L18" s="19"/>
      <c r="M18" s="19"/>
      <c r="N18" s="30" t="s">
        <v>165</v>
      </c>
      <c r="O18" s="2">
        <v>6</v>
      </c>
      <c r="S18" s="1" t="e">
        <v>#N/A</v>
      </c>
      <c r="T18" s="2" t="e">
        <f t="shared" si="2"/>
        <v>#N/A</v>
      </c>
    </row>
    <row r="19" s="1" customFormat="1" ht="17.25" customHeight="1" spans="1:20">
      <c r="A19" s="6" t="s">
        <v>54</v>
      </c>
      <c r="B19" s="22">
        <f t="shared" ref="B19:M19" si="8">SUM(B20:B20)</f>
        <v>174</v>
      </c>
      <c r="C19" s="22">
        <f t="shared" si="8"/>
        <v>0</v>
      </c>
      <c r="D19" s="22">
        <f t="shared" si="8"/>
        <v>174</v>
      </c>
      <c r="E19" s="23">
        <f t="shared" si="8"/>
        <v>0</v>
      </c>
      <c r="F19" s="22">
        <f t="shared" si="8"/>
        <v>0</v>
      </c>
      <c r="G19" s="22">
        <f t="shared" si="8"/>
        <v>0</v>
      </c>
      <c r="H19" s="22">
        <f t="shared" si="8"/>
        <v>0</v>
      </c>
      <c r="I19" s="22">
        <f t="shared" si="8"/>
        <v>0</v>
      </c>
      <c r="J19" s="22">
        <f t="shared" si="8"/>
        <v>57</v>
      </c>
      <c r="K19" s="22">
        <f t="shared" si="8"/>
        <v>23</v>
      </c>
      <c r="L19" s="22">
        <f t="shared" si="8"/>
        <v>26</v>
      </c>
      <c r="M19" s="22">
        <f t="shared" si="8"/>
        <v>8</v>
      </c>
      <c r="N19" s="30" t="s">
        <v>165</v>
      </c>
      <c r="O19" s="2">
        <v>7</v>
      </c>
      <c r="P19" s="2"/>
      <c r="Q19" s="2"/>
      <c r="S19" s="1" t="e">
        <v>#N/A</v>
      </c>
      <c r="T19" s="2" t="e">
        <f t="shared" si="2"/>
        <v>#N/A</v>
      </c>
    </row>
    <row r="20" ht="17.25" customHeight="1" spans="1:27">
      <c r="A20" s="24" t="s">
        <v>190</v>
      </c>
      <c r="B20" s="17">
        <f t="shared" ref="B20:B33" si="9">SUM(C20:D20)</f>
        <v>174</v>
      </c>
      <c r="C20" s="17">
        <f t="shared" ref="C20:C33" si="10">ROUND((I20*3.52+H20*3.52+G20*3.52/12*8),0)</f>
        <v>0</v>
      </c>
      <c r="D20" s="17">
        <f t="shared" ref="D20:D33" si="11">ROUND((M20*3.52+L20*3.52+K20*3.52/12*8),0)</f>
        <v>174</v>
      </c>
      <c r="E20" s="15">
        <f>ROUND($P$2/$F$7*F20,0)</f>
        <v>0</v>
      </c>
      <c r="F20" s="18">
        <f t="shared" ref="F20:F24" si="12">SUM(G20:I20)</f>
        <v>0</v>
      </c>
      <c r="G20" s="18"/>
      <c r="H20" s="19"/>
      <c r="I20" s="19"/>
      <c r="J20" s="18">
        <f t="shared" ref="J20:J33" si="13">SUM(K20:M20)</f>
        <v>57</v>
      </c>
      <c r="K20" s="18">
        <v>23</v>
      </c>
      <c r="L20" s="19">
        <v>26</v>
      </c>
      <c r="M20" s="19">
        <v>8</v>
      </c>
      <c r="N20" s="30" t="s">
        <v>165</v>
      </c>
      <c r="O20" s="2">
        <v>8</v>
      </c>
      <c r="S20" s="1">
        <v>26</v>
      </c>
      <c r="T20" s="2" t="b">
        <f t="shared" si="2"/>
        <v>0</v>
      </c>
      <c r="X20" s="2">
        <v>1229</v>
      </c>
      <c r="Y20" s="2">
        <v>1296</v>
      </c>
      <c r="Z20" s="2">
        <v>1310</v>
      </c>
      <c r="AA20" s="2">
        <v>1500</v>
      </c>
    </row>
    <row r="21" ht="17.25" customHeight="1" spans="1:27">
      <c r="A21" s="21" t="s">
        <v>57</v>
      </c>
      <c r="B21" s="17">
        <f t="shared" si="9"/>
        <v>943</v>
      </c>
      <c r="C21" s="17">
        <f t="shared" si="10"/>
        <v>0</v>
      </c>
      <c r="D21" s="17">
        <f t="shared" si="11"/>
        <v>943</v>
      </c>
      <c r="E21" s="15">
        <f>ROUND($P$2/$F$7*F21,0)</f>
        <v>0</v>
      </c>
      <c r="F21" s="18">
        <f t="shared" si="12"/>
        <v>0</v>
      </c>
      <c r="G21" s="18"/>
      <c r="H21" s="19"/>
      <c r="I21" s="19"/>
      <c r="J21" s="18">
        <f t="shared" si="13"/>
        <v>301</v>
      </c>
      <c r="K21" s="18">
        <v>99</v>
      </c>
      <c r="L21" s="19">
        <v>96</v>
      </c>
      <c r="M21" s="19">
        <v>106</v>
      </c>
      <c r="N21" s="30" t="s">
        <v>165</v>
      </c>
      <c r="O21" s="2">
        <v>10</v>
      </c>
      <c r="P21" s="2">
        <v>1</v>
      </c>
      <c r="S21" s="1">
        <v>97</v>
      </c>
      <c r="T21" s="2" t="b">
        <f t="shared" si="2"/>
        <v>0</v>
      </c>
      <c r="X21" s="2">
        <f>X20*3.16*8/12</f>
        <v>2589.09333333333</v>
      </c>
      <c r="Y21" s="2">
        <f>Y20*3.16</f>
        <v>4095.36</v>
      </c>
      <c r="Z21" s="2">
        <f>Z20*3.16</f>
        <v>4139.6</v>
      </c>
      <c r="AA21" s="2">
        <f>AA20*4/12*3.16</f>
        <v>1580</v>
      </c>
    </row>
    <row r="22" ht="17.25" customHeight="1" spans="1:20">
      <c r="A22" s="21" t="s">
        <v>59</v>
      </c>
      <c r="B22" s="17">
        <f t="shared" si="9"/>
        <v>797</v>
      </c>
      <c r="C22" s="17">
        <f t="shared" si="10"/>
        <v>0</v>
      </c>
      <c r="D22" s="17">
        <f t="shared" si="11"/>
        <v>797</v>
      </c>
      <c r="E22" s="15">
        <f>ROUND($P$2/$F$7*F22,0)</f>
        <v>0</v>
      </c>
      <c r="F22" s="18">
        <f t="shared" si="12"/>
        <v>0</v>
      </c>
      <c r="G22" s="18"/>
      <c r="H22" s="19"/>
      <c r="I22" s="19"/>
      <c r="J22" s="18">
        <f t="shared" si="13"/>
        <v>247</v>
      </c>
      <c r="K22" s="18">
        <v>62</v>
      </c>
      <c r="L22" s="19">
        <v>99</v>
      </c>
      <c r="M22" s="19">
        <v>86</v>
      </c>
      <c r="N22" s="30" t="s">
        <v>137</v>
      </c>
      <c r="O22" s="2">
        <v>11</v>
      </c>
      <c r="P22" s="2">
        <v>1</v>
      </c>
      <c r="S22" s="1">
        <v>101</v>
      </c>
      <c r="T22" s="2" t="b">
        <f t="shared" si="2"/>
        <v>0</v>
      </c>
    </row>
    <row r="23" ht="17.25" customHeight="1" spans="1:27">
      <c r="A23" s="21" t="s">
        <v>43</v>
      </c>
      <c r="B23" s="17">
        <f t="shared" si="9"/>
        <v>625</v>
      </c>
      <c r="C23" s="17">
        <f t="shared" si="10"/>
        <v>0</v>
      </c>
      <c r="D23" s="17">
        <f t="shared" si="11"/>
        <v>625</v>
      </c>
      <c r="E23" s="15">
        <f>ROUND($P$2/$F$7*F23,0)</f>
        <v>0</v>
      </c>
      <c r="F23" s="18">
        <f t="shared" si="12"/>
        <v>0</v>
      </c>
      <c r="G23" s="18"/>
      <c r="H23" s="19"/>
      <c r="I23" s="19"/>
      <c r="J23" s="18">
        <f t="shared" si="13"/>
        <v>194</v>
      </c>
      <c r="K23" s="18">
        <v>49</v>
      </c>
      <c r="L23" s="19">
        <v>58</v>
      </c>
      <c r="M23" s="19">
        <v>87</v>
      </c>
      <c r="N23" s="30" t="s">
        <v>165</v>
      </c>
      <c r="O23" s="2">
        <v>12</v>
      </c>
      <c r="P23" s="2">
        <v>1</v>
      </c>
      <c r="S23" s="1">
        <v>59</v>
      </c>
      <c r="T23" s="2" t="b">
        <f t="shared" si="2"/>
        <v>0</v>
      </c>
      <c r="X23" s="2">
        <v>2016</v>
      </c>
      <c r="Y23" s="2">
        <v>2017</v>
      </c>
      <c r="Z23" s="2">
        <v>2018</v>
      </c>
      <c r="AA23" s="2">
        <v>2019</v>
      </c>
    </row>
    <row r="24" ht="17.25" customHeight="1" spans="1:27">
      <c r="A24" s="21" t="s">
        <v>58</v>
      </c>
      <c r="B24" s="17">
        <f t="shared" si="9"/>
        <v>986</v>
      </c>
      <c r="C24" s="17">
        <f t="shared" si="10"/>
        <v>986</v>
      </c>
      <c r="D24" s="17">
        <f t="shared" si="11"/>
        <v>0</v>
      </c>
      <c r="E24" s="15">
        <f>ROUND($P$2/$F$7*F24,0)</f>
        <v>29</v>
      </c>
      <c r="F24" s="18">
        <f t="shared" si="12"/>
        <v>310</v>
      </c>
      <c r="G24" s="18">
        <v>90</v>
      </c>
      <c r="H24" s="19">
        <v>109</v>
      </c>
      <c r="I24" s="19">
        <v>111</v>
      </c>
      <c r="J24" s="18">
        <f t="shared" si="13"/>
        <v>0</v>
      </c>
      <c r="K24" s="18"/>
      <c r="L24" s="19"/>
      <c r="M24" s="19"/>
      <c r="N24" s="30" t="s">
        <v>165</v>
      </c>
      <c r="O24" s="2">
        <v>2019</v>
      </c>
      <c r="Q24" s="2" t="s">
        <v>191</v>
      </c>
      <c r="S24" s="1" t="e">
        <v>#N/A</v>
      </c>
      <c r="T24" s="2" t="e">
        <f t="shared" si="2"/>
        <v>#N/A</v>
      </c>
      <c r="X24" s="2">
        <v>1274</v>
      </c>
      <c r="Y24" s="2">
        <v>1293</v>
      </c>
      <c r="Z24" s="2">
        <v>1393</v>
      </c>
      <c r="AA24" s="2">
        <v>1500</v>
      </c>
    </row>
    <row r="25" ht="17.25" customHeight="1" spans="1:28">
      <c r="A25" s="21" t="s">
        <v>192</v>
      </c>
      <c r="B25" s="17">
        <f t="shared" si="9"/>
        <v>96</v>
      </c>
      <c r="C25" s="17">
        <f t="shared" si="10"/>
        <v>0</v>
      </c>
      <c r="D25" s="17">
        <f t="shared" si="11"/>
        <v>96</v>
      </c>
      <c r="E25" s="15">
        <f>ROUND($P$2/$F$7*F25,0)</f>
        <v>0</v>
      </c>
      <c r="F25" s="18"/>
      <c r="G25" s="18"/>
      <c r="H25" s="19"/>
      <c r="I25" s="19"/>
      <c r="J25" s="18">
        <f t="shared" si="13"/>
        <v>31</v>
      </c>
      <c r="K25" s="18">
        <v>11</v>
      </c>
      <c r="L25" s="19">
        <v>10</v>
      </c>
      <c r="M25" s="19">
        <v>10</v>
      </c>
      <c r="N25" s="30" t="s">
        <v>165</v>
      </c>
      <c r="O25" s="2">
        <v>1</v>
      </c>
      <c r="P25" s="2">
        <v>1</v>
      </c>
      <c r="S25" s="1">
        <v>10</v>
      </c>
      <c r="T25" s="2" t="b">
        <f t="shared" si="2"/>
        <v>1</v>
      </c>
      <c r="X25" s="2">
        <f>X24*3.16*8/12</f>
        <v>2683.89333333333</v>
      </c>
      <c r="Y25" s="2">
        <f>Y24*3.16</f>
        <v>4085.88</v>
      </c>
      <c r="Z25" s="2">
        <f>Z24*3.16</f>
        <v>4401.88</v>
      </c>
      <c r="AA25" s="2">
        <f>AA24*4/12*3.16</f>
        <v>1580</v>
      </c>
      <c r="AB25" s="2">
        <f>SUM(X25:AA25)</f>
        <v>12751.6533333333</v>
      </c>
    </row>
    <row r="26" ht="17.25" customHeight="1" spans="1:27">
      <c r="A26" s="21" t="s">
        <v>64</v>
      </c>
      <c r="B26" s="17">
        <f t="shared" si="9"/>
        <v>534</v>
      </c>
      <c r="C26" s="17">
        <f t="shared" si="10"/>
        <v>0</v>
      </c>
      <c r="D26" s="17">
        <f t="shared" si="11"/>
        <v>534</v>
      </c>
      <c r="E26" s="15">
        <f>ROUND($P$2/$F$7*F26,0)</f>
        <v>0</v>
      </c>
      <c r="F26" s="18">
        <f t="shared" ref="F26:F33" si="14">SUM(G26:I26)</f>
        <v>0</v>
      </c>
      <c r="G26" s="18"/>
      <c r="H26" s="19"/>
      <c r="I26" s="19"/>
      <c r="J26" s="18">
        <f t="shared" si="13"/>
        <v>166</v>
      </c>
      <c r="K26" s="18">
        <v>43</v>
      </c>
      <c r="L26" s="19">
        <v>58</v>
      </c>
      <c r="M26" s="19">
        <v>65</v>
      </c>
      <c r="N26" s="30" t="s">
        <v>165</v>
      </c>
      <c r="O26" s="2">
        <v>2</v>
      </c>
      <c r="P26" s="2">
        <v>1</v>
      </c>
      <c r="S26" s="1">
        <v>58</v>
      </c>
      <c r="T26" s="2" t="b">
        <f t="shared" si="2"/>
        <v>0</v>
      </c>
      <c r="X26" s="2">
        <v>1369</v>
      </c>
      <c r="Y26" s="2">
        <v>1418</v>
      </c>
      <c r="Z26" s="2">
        <v>1416</v>
      </c>
      <c r="AA26" s="2">
        <v>1500</v>
      </c>
    </row>
    <row r="27" ht="17.25" customHeight="1" spans="1:28">
      <c r="A27" s="21" t="s">
        <v>65</v>
      </c>
      <c r="B27" s="17">
        <f t="shared" si="9"/>
        <v>523</v>
      </c>
      <c r="C27" s="17">
        <f t="shared" si="10"/>
        <v>0</v>
      </c>
      <c r="D27" s="17">
        <f t="shared" si="11"/>
        <v>523</v>
      </c>
      <c r="E27" s="15">
        <f>ROUND($P$2/$F$7*F27,0)</f>
        <v>0</v>
      </c>
      <c r="F27" s="18">
        <f t="shared" si="14"/>
        <v>0</v>
      </c>
      <c r="G27" s="18"/>
      <c r="H27" s="19"/>
      <c r="I27" s="19"/>
      <c r="J27" s="18">
        <f t="shared" si="13"/>
        <v>163</v>
      </c>
      <c r="K27" s="18">
        <v>43</v>
      </c>
      <c r="L27" s="19">
        <v>58</v>
      </c>
      <c r="M27" s="19">
        <v>62</v>
      </c>
      <c r="N27" s="30" t="s">
        <v>165</v>
      </c>
      <c r="O27" s="2">
        <v>3</v>
      </c>
      <c r="P27" s="2">
        <v>1</v>
      </c>
      <c r="S27" s="1">
        <v>58</v>
      </c>
      <c r="T27" s="2" t="b">
        <f t="shared" si="2"/>
        <v>0</v>
      </c>
      <c r="X27" s="2">
        <f>X26*3.16*8/12</f>
        <v>2884.02666666667</v>
      </c>
      <c r="Y27" s="2">
        <f>Y26*3.16</f>
        <v>4480.88</v>
      </c>
      <c r="Z27" s="2">
        <f>Z26*3.16</f>
        <v>4474.56</v>
      </c>
      <c r="AA27" s="2">
        <f>AA26*4/12*3.16</f>
        <v>1580</v>
      </c>
      <c r="AB27" s="2">
        <f>SUM(X27:AA27)</f>
        <v>13419.4666666667</v>
      </c>
    </row>
    <row r="28" ht="17.25" customHeight="1" spans="1:20">
      <c r="A28" s="21" t="s">
        <v>193</v>
      </c>
      <c r="B28" s="17">
        <f t="shared" si="9"/>
        <v>188</v>
      </c>
      <c r="C28" s="17">
        <f t="shared" si="10"/>
        <v>0</v>
      </c>
      <c r="D28" s="17">
        <f t="shared" si="11"/>
        <v>188</v>
      </c>
      <c r="E28" s="15">
        <f>ROUND($P$2/$F$7*F28,0)</f>
        <v>0</v>
      </c>
      <c r="F28" s="18">
        <f t="shared" si="14"/>
        <v>0</v>
      </c>
      <c r="G28" s="18"/>
      <c r="H28" s="19"/>
      <c r="I28" s="19"/>
      <c r="J28" s="18">
        <f t="shared" si="13"/>
        <v>60</v>
      </c>
      <c r="K28" s="18">
        <v>20</v>
      </c>
      <c r="L28" s="19">
        <v>20</v>
      </c>
      <c r="M28" s="19">
        <v>20</v>
      </c>
      <c r="N28" s="30" t="s">
        <v>165</v>
      </c>
      <c r="O28" s="2">
        <v>4</v>
      </c>
      <c r="P28" s="2">
        <v>1</v>
      </c>
      <c r="S28" s="1">
        <v>21</v>
      </c>
      <c r="T28" s="2" t="b">
        <f t="shared" si="2"/>
        <v>0</v>
      </c>
    </row>
    <row r="29" ht="17.25" customHeight="1" spans="1:26">
      <c r="A29" s="21" t="s">
        <v>69</v>
      </c>
      <c r="B29" s="17">
        <f t="shared" si="9"/>
        <v>235</v>
      </c>
      <c r="C29" s="17">
        <f t="shared" si="10"/>
        <v>0</v>
      </c>
      <c r="D29" s="17">
        <f t="shared" si="11"/>
        <v>235</v>
      </c>
      <c r="E29" s="15">
        <f>ROUND($P$2/$F$7*F29,0)</f>
        <v>0</v>
      </c>
      <c r="F29" s="18">
        <f t="shared" si="14"/>
        <v>0</v>
      </c>
      <c r="G29" s="18"/>
      <c r="H29" s="19"/>
      <c r="I29" s="19"/>
      <c r="J29" s="18">
        <f t="shared" si="13"/>
        <v>71</v>
      </c>
      <c r="K29" s="18">
        <v>13</v>
      </c>
      <c r="L29" s="19">
        <v>28</v>
      </c>
      <c r="M29" s="19">
        <v>30</v>
      </c>
      <c r="N29" s="30" t="s">
        <v>165</v>
      </c>
      <c r="O29" s="2">
        <v>5</v>
      </c>
      <c r="P29" s="2">
        <v>1</v>
      </c>
      <c r="S29" s="1">
        <v>29</v>
      </c>
      <c r="T29" s="2" t="b">
        <f t="shared" si="2"/>
        <v>0</v>
      </c>
      <c r="Y29" s="2" t="s">
        <v>194</v>
      </c>
      <c r="Z29" s="2">
        <v>50</v>
      </c>
    </row>
    <row r="30" ht="17.25" customHeight="1" spans="1:26">
      <c r="A30" s="21" t="s">
        <v>71</v>
      </c>
      <c r="B30" s="17">
        <f t="shared" si="9"/>
        <v>472</v>
      </c>
      <c r="C30" s="17">
        <f t="shared" si="10"/>
        <v>0</v>
      </c>
      <c r="D30" s="17">
        <f t="shared" si="11"/>
        <v>472</v>
      </c>
      <c r="E30" s="15">
        <f>ROUND($P$2/$F$7*F30,0)</f>
        <v>0</v>
      </c>
      <c r="F30" s="18">
        <f t="shared" si="14"/>
        <v>0</v>
      </c>
      <c r="G30" s="18"/>
      <c r="H30" s="19"/>
      <c r="I30" s="19"/>
      <c r="J30" s="18">
        <f t="shared" si="13"/>
        <v>153</v>
      </c>
      <c r="K30" s="18">
        <v>57</v>
      </c>
      <c r="L30" s="19">
        <v>52</v>
      </c>
      <c r="M30" s="19">
        <v>44</v>
      </c>
      <c r="N30" s="30" t="s">
        <v>137</v>
      </c>
      <c r="O30" s="2">
        <v>6</v>
      </c>
      <c r="P30" s="2">
        <v>1</v>
      </c>
      <c r="S30" s="1">
        <v>52</v>
      </c>
      <c r="T30" s="2" t="b">
        <f t="shared" si="2"/>
        <v>0</v>
      </c>
      <c r="Y30" s="2" t="s">
        <v>195</v>
      </c>
      <c r="Z30" s="2">
        <v>80</v>
      </c>
    </row>
    <row r="31" ht="17.25" customHeight="1" spans="1:26">
      <c r="A31" s="21" t="s">
        <v>70</v>
      </c>
      <c r="B31" s="17">
        <f t="shared" si="9"/>
        <v>636</v>
      </c>
      <c r="C31" s="17">
        <f t="shared" si="10"/>
        <v>636</v>
      </c>
      <c r="D31" s="17">
        <f t="shared" si="11"/>
        <v>0</v>
      </c>
      <c r="E31" s="15">
        <f>ROUND($P$2/$F$7*F31,0)</f>
        <v>19</v>
      </c>
      <c r="F31" s="18">
        <f t="shared" si="14"/>
        <v>195</v>
      </c>
      <c r="G31" s="18">
        <v>43</v>
      </c>
      <c r="H31" s="19">
        <v>74</v>
      </c>
      <c r="I31" s="19">
        <v>78</v>
      </c>
      <c r="J31" s="18">
        <f t="shared" si="13"/>
        <v>0</v>
      </c>
      <c r="K31" s="18"/>
      <c r="L31" s="19"/>
      <c r="M31" s="19"/>
      <c r="N31" s="30" t="s">
        <v>165</v>
      </c>
      <c r="O31" s="2">
        <v>7</v>
      </c>
      <c r="P31" s="2">
        <v>1</v>
      </c>
      <c r="S31" s="1" t="e">
        <v>#N/A</v>
      </c>
      <c r="T31" s="2" t="e">
        <f t="shared" si="2"/>
        <v>#N/A</v>
      </c>
      <c r="Y31" s="2" t="s">
        <v>196</v>
      </c>
      <c r="Z31" s="2">
        <v>210</v>
      </c>
    </row>
    <row r="32" ht="17.25" customHeight="1" spans="1:28">
      <c r="A32" s="21" t="s">
        <v>73</v>
      </c>
      <c r="B32" s="17">
        <f t="shared" si="9"/>
        <v>677</v>
      </c>
      <c r="C32" s="17">
        <f t="shared" si="10"/>
        <v>677</v>
      </c>
      <c r="D32" s="17">
        <f t="shared" si="11"/>
        <v>0</v>
      </c>
      <c r="E32" s="15">
        <f>ROUND($P$2/$F$7*F32,0)</f>
        <v>21</v>
      </c>
      <c r="F32" s="18">
        <f t="shared" si="14"/>
        <v>224</v>
      </c>
      <c r="G32" s="18">
        <v>95</v>
      </c>
      <c r="H32" s="19">
        <v>65</v>
      </c>
      <c r="I32" s="19">
        <v>64</v>
      </c>
      <c r="J32" s="18">
        <f t="shared" si="13"/>
        <v>0</v>
      </c>
      <c r="K32" s="18"/>
      <c r="L32" s="19"/>
      <c r="M32" s="19"/>
      <c r="N32" s="30" t="s">
        <v>165</v>
      </c>
      <c r="O32" s="2">
        <v>8</v>
      </c>
      <c r="P32" s="2">
        <v>1</v>
      </c>
      <c r="S32" s="1" t="e">
        <v>#N/A</v>
      </c>
      <c r="T32" s="2" t="e">
        <f t="shared" si="2"/>
        <v>#N/A</v>
      </c>
      <c r="X32" s="2" t="s">
        <v>197</v>
      </c>
      <c r="Z32" s="2">
        <f>SUM(Z29:Z31)</f>
        <v>340</v>
      </c>
      <c r="AB32" s="2">
        <f>AB27+Z32</f>
        <v>13759.4666666667</v>
      </c>
    </row>
    <row r="33" ht="17.25" customHeight="1" spans="1:20">
      <c r="A33" s="21" t="s">
        <v>72</v>
      </c>
      <c r="B33" s="17">
        <f t="shared" si="9"/>
        <v>871</v>
      </c>
      <c r="C33" s="17">
        <f t="shared" si="10"/>
        <v>0</v>
      </c>
      <c r="D33" s="17">
        <f t="shared" si="11"/>
        <v>871</v>
      </c>
      <c r="E33" s="15">
        <f>ROUND($P$2/$F$7*F33,0)</f>
        <v>0</v>
      </c>
      <c r="F33" s="18">
        <f t="shared" si="14"/>
        <v>0</v>
      </c>
      <c r="G33" s="18"/>
      <c r="H33" s="19"/>
      <c r="I33" s="19"/>
      <c r="J33" s="18">
        <f t="shared" si="13"/>
        <v>270</v>
      </c>
      <c r="K33" s="18">
        <v>68</v>
      </c>
      <c r="L33" s="19">
        <v>97</v>
      </c>
      <c r="M33" s="19">
        <v>105</v>
      </c>
      <c r="N33" s="30" t="s">
        <v>165</v>
      </c>
      <c r="O33" s="2">
        <v>9</v>
      </c>
      <c r="P33" s="2">
        <v>1</v>
      </c>
      <c r="Q33" s="2">
        <v>1</v>
      </c>
      <c r="S33" s="1">
        <v>98</v>
      </c>
      <c r="T33" s="2" t="b">
        <f t="shared" si="2"/>
        <v>0</v>
      </c>
    </row>
    <row r="34" s="1" customFormat="1" ht="17.25" customHeight="1" spans="1:20">
      <c r="A34" s="21" t="s">
        <v>74</v>
      </c>
      <c r="B34" s="22">
        <f t="shared" ref="B34:M34" si="15">SUM(B35:B36)</f>
        <v>722</v>
      </c>
      <c r="C34" s="22">
        <f t="shared" si="15"/>
        <v>722</v>
      </c>
      <c r="D34" s="22">
        <f t="shared" si="15"/>
        <v>0</v>
      </c>
      <c r="E34" s="15">
        <f>ROUND($P$2/$F$7*F34,0)</f>
        <v>22</v>
      </c>
      <c r="F34" s="22">
        <f t="shared" si="15"/>
        <v>233</v>
      </c>
      <c r="G34" s="22">
        <f t="shared" si="15"/>
        <v>84</v>
      </c>
      <c r="H34" s="22">
        <f t="shared" si="15"/>
        <v>65</v>
      </c>
      <c r="I34" s="22">
        <f t="shared" si="15"/>
        <v>84</v>
      </c>
      <c r="J34" s="22">
        <f t="shared" si="15"/>
        <v>0</v>
      </c>
      <c r="K34" s="22">
        <f t="shared" si="15"/>
        <v>0</v>
      </c>
      <c r="L34" s="22">
        <f t="shared" si="15"/>
        <v>0</v>
      </c>
      <c r="M34" s="22">
        <f t="shared" si="15"/>
        <v>0</v>
      </c>
      <c r="N34" s="30" t="s">
        <v>165</v>
      </c>
      <c r="O34" s="2">
        <v>10</v>
      </c>
      <c r="P34" s="2">
        <v>1</v>
      </c>
      <c r="Q34" s="2">
        <v>1</v>
      </c>
      <c r="S34" s="1" t="e">
        <v>#N/A</v>
      </c>
      <c r="T34" s="2" t="e">
        <f t="shared" si="2"/>
        <v>#N/A</v>
      </c>
    </row>
    <row r="35" ht="17.25" customHeight="1" spans="1:20">
      <c r="A35" s="24" t="s">
        <v>198</v>
      </c>
      <c r="B35" s="17">
        <f t="shared" ref="B35:B45" si="16">SUM(C35:D35)</f>
        <v>277</v>
      </c>
      <c r="C35" s="17">
        <f t="shared" ref="C35:C43" si="17">ROUND((I35*3.52+H35*3.52+G35*3.52/12*8),0)</f>
        <v>277</v>
      </c>
      <c r="D35" s="17">
        <f t="shared" ref="D35:D43" si="18">ROUND((M35*3.52+L35*3.52+K35*3.52/12*8),0)</f>
        <v>0</v>
      </c>
      <c r="E35" s="15">
        <f>ROUND($P$2/$F$7*F35,0)</f>
        <v>8</v>
      </c>
      <c r="F35" s="18">
        <f t="shared" ref="F35:F45" si="19">SUM(G35:I35)</f>
        <v>88</v>
      </c>
      <c r="G35" s="18">
        <v>28</v>
      </c>
      <c r="H35" s="19">
        <v>29</v>
      </c>
      <c r="I35" s="19">
        <v>31</v>
      </c>
      <c r="J35" s="18">
        <f t="shared" ref="J35:J45" si="20">SUM(K35:M35)</f>
        <v>0</v>
      </c>
      <c r="K35" s="18"/>
      <c r="L35" s="19"/>
      <c r="M35" s="19"/>
      <c r="N35" s="30" t="s">
        <v>165</v>
      </c>
      <c r="O35" s="2">
        <v>11</v>
      </c>
      <c r="P35" s="2">
        <v>1</v>
      </c>
      <c r="Q35" s="2">
        <v>1</v>
      </c>
      <c r="S35" s="1" t="e">
        <v>#N/A</v>
      </c>
      <c r="T35" s="2" t="e">
        <f t="shared" si="2"/>
        <v>#N/A</v>
      </c>
    </row>
    <row r="36" ht="17.25" customHeight="1" spans="1:20">
      <c r="A36" s="24" t="s">
        <v>75</v>
      </c>
      <c r="B36" s="17">
        <f t="shared" si="16"/>
        <v>445</v>
      </c>
      <c r="C36" s="17">
        <f t="shared" si="17"/>
        <v>445</v>
      </c>
      <c r="D36" s="17">
        <f t="shared" si="18"/>
        <v>0</v>
      </c>
      <c r="E36" s="15">
        <f>ROUND($P$2/$F$7*F36,0)</f>
        <v>14</v>
      </c>
      <c r="F36" s="18">
        <f t="shared" si="19"/>
        <v>145</v>
      </c>
      <c r="G36" s="18">
        <v>56</v>
      </c>
      <c r="H36" s="19">
        <v>36</v>
      </c>
      <c r="I36" s="19">
        <v>53</v>
      </c>
      <c r="J36" s="18">
        <f t="shared" si="20"/>
        <v>0</v>
      </c>
      <c r="K36" s="18"/>
      <c r="L36" s="19"/>
      <c r="M36" s="19"/>
      <c r="N36" s="30" t="s">
        <v>165</v>
      </c>
      <c r="O36" s="2">
        <v>12</v>
      </c>
      <c r="P36" s="2">
        <v>1</v>
      </c>
      <c r="Q36" s="2">
        <v>1</v>
      </c>
      <c r="S36" s="1" t="e">
        <v>#N/A</v>
      </c>
      <c r="T36" s="2" t="e">
        <f t="shared" si="2"/>
        <v>#N/A</v>
      </c>
    </row>
    <row r="37" ht="17.25" customHeight="1" spans="1:20">
      <c r="A37" s="21" t="s">
        <v>79</v>
      </c>
      <c r="B37" s="17">
        <f t="shared" si="16"/>
        <v>186</v>
      </c>
      <c r="C37" s="17">
        <f t="shared" si="17"/>
        <v>181</v>
      </c>
      <c r="D37" s="17">
        <f t="shared" si="18"/>
        <v>5</v>
      </c>
      <c r="E37" s="15">
        <f>ROUND($P$2/$F$7*F37,0)</f>
        <v>5</v>
      </c>
      <c r="F37" s="18">
        <f t="shared" si="19"/>
        <v>57</v>
      </c>
      <c r="G37" s="18">
        <v>17</v>
      </c>
      <c r="H37" s="19">
        <v>23</v>
      </c>
      <c r="I37" s="19">
        <v>17</v>
      </c>
      <c r="J37" s="18">
        <f t="shared" si="20"/>
        <v>2</v>
      </c>
      <c r="K37" s="18">
        <v>2</v>
      </c>
      <c r="L37" s="19"/>
      <c r="M37" s="19"/>
      <c r="N37" s="30" t="s">
        <v>137</v>
      </c>
      <c r="O37" s="2" t="s">
        <v>199</v>
      </c>
      <c r="R37" s="2" t="s">
        <v>200</v>
      </c>
      <c r="S37" s="1" t="e">
        <v>#N/A</v>
      </c>
      <c r="T37" s="2" t="e">
        <f t="shared" si="2"/>
        <v>#N/A</v>
      </c>
    </row>
    <row r="38" ht="17.25" customHeight="1" spans="1:20">
      <c r="A38" s="21" t="s">
        <v>77</v>
      </c>
      <c r="B38" s="17">
        <f t="shared" si="16"/>
        <v>495</v>
      </c>
      <c r="C38" s="17">
        <f t="shared" si="17"/>
        <v>495</v>
      </c>
      <c r="D38" s="17">
        <f t="shared" si="18"/>
        <v>0</v>
      </c>
      <c r="E38" s="15">
        <f>ROUND($P$2/$F$7*F38,0)</f>
        <v>14</v>
      </c>
      <c r="F38" s="18">
        <f t="shared" si="19"/>
        <v>150</v>
      </c>
      <c r="G38" s="18">
        <v>28</v>
      </c>
      <c r="H38" s="19">
        <v>60</v>
      </c>
      <c r="I38" s="19">
        <v>62</v>
      </c>
      <c r="J38" s="18">
        <f t="shared" si="20"/>
        <v>0</v>
      </c>
      <c r="K38" s="18"/>
      <c r="L38" s="19"/>
      <c r="M38" s="19"/>
      <c r="N38" s="30" t="s">
        <v>165</v>
      </c>
      <c r="O38" s="2">
        <v>1</v>
      </c>
      <c r="P38" s="2">
        <v>1</v>
      </c>
      <c r="Q38" s="2">
        <v>1</v>
      </c>
      <c r="S38" s="1" t="e">
        <v>#N/A</v>
      </c>
      <c r="T38" s="2" t="e">
        <f t="shared" si="2"/>
        <v>#N/A</v>
      </c>
    </row>
    <row r="39" ht="17.25" customHeight="1" spans="1:20">
      <c r="A39" s="21" t="s">
        <v>78</v>
      </c>
      <c r="B39" s="17">
        <f t="shared" si="16"/>
        <v>248</v>
      </c>
      <c r="C39" s="17">
        <f t="shared" si="17"/>
        <v>248</v>
      </c>
      <c r="D39" s="17">
        <f t="shared" si="18"/>
        <v>0</v>
      </c>
      <c r="E39" s="15">
        <f>ROUND($P$2/$F$7*F39,0)</f>
        <v>8</v>
      </c>
      <c r="F39" s="18">
        <f t="shared" si="19"/>
        <v>80</v>
      </c>
      <c r="G39" s="18">
        <v>29</v>
      </c>
      <c r="H39" s="19">
        <v>22</v>
      </c>
      <c r="I39" s="19">
        <v>29</v>
      </c>
      <c r="J39" s="18">
        <f t="shared" si="20"/>
        <v>0</v>
      </c>
      <c r="K39" s="18"/>
      <c r="L39" s="19"/>
      <c r="M39" s="19"/>
      <c r="N39" s="30" t="s">
        <v>137</v>
      </c>
      <c r="O39" s="2">
        <v>2</v>
      </c>
      <c r="P39" s="2">
        <v>1</v>
      </c>
      <c r="Q39" s="2">
        <v>1</v>
      </c>
      <c r="S39" s="1" t="e">
        <v>#N/A</v>
      </c>
      <c r="T39" s="2" t="e">
        <f t="shared" si="2"/>
        <v>#N/A</v>
      </c>
    </row>
    <row r="40" ht="17.25" customHeight="1" spans="1:20">
      <c r="A40" s="21" t="s">
        <v>80</v>
      </c>
      <c r="B40" s="17">
        <f t="shared" si="16"/>
        <v>347</v>
      </c>
      <c r="C40" s="17">
        <f t="shared" si="17"/>
        <v>347</v>
      </c>
      <c r="D40" s="17">
        <f t="shared" si="18"/>
        <v>0</v>
      </c>
      <c r="E40" s="15">
        <f>ROUND($P$2/$F$7*F40,0)</f>
        <v>10</v>
      </c>
      <c r="F40" s="18">
        <f t="shared" si="19"/>
        <v>108</v>
      </c>
      <c r="G40" s="18">
        <v>28</v>
      </c>
      <c r="H40" s="19">
        <v>36</v>
      </c>
      <c r="I40" s="19">
        <v>44</v>
      </c>
      <c r="J40" s="18">
        <f t="shared" si="20"/>
        <v>0</v>
      </c>
      <c r="K40" s="18"/>
      <c r="L40" s="19"/>
      <c r="M40" s="19"/>
      <c r="N40" s="30" t="s">
        <v>165</v>
      </c>
      <c r="O40" s="2">
        <v>3</v>
      </c>
      <c r="P40" s="2">
        <v>1</v>
      </c>
      <c r="Q40" s="2">
        <v>1</v>
      </c>
      <c r="S40" s="1" t="e">
        <v>#N/A</v>
      </c>
      <c r="T40" s="2" t="e">
        <f t="shared" si="2"/>
        <v>#N/A</v>
      </c>
    </row>
    <row r="41" ht="17.25" customHeight="1" spans="1:20">
      <c r="A41" s="6" t="s">
        <v>201</v>
      </c>
      <c r="B41" s="17">
        <f t="shared" si="16"/>
        <v>794</v>
      </c>
      <c r="C41" s="17">
        <f t="shared" si="17"/>
        <v>0</v>
      </c>
      <c r="D41" s="17">
        <f t="shared" si="18"/>
        <v>794</v>
      </c>
      <c r="E41" s="15">
        <f>ROUND($P$2/$F$7*F41,0)</f>
        <v>0</v>
      </c>
      <c r="F41" s="18">
        <f t="shared" si="19"/>
        <v>0</v>
      </c>
      <c r="G41" s="18"/>
      <c r="H41" s="19"/>
      <c r="I41" s="19"/>
      <c r="J41" s="18">
        <f t="shared" si="20"/>
        <v>261</v>
      </c>
      <c r="K41" s="18">
        <v>106</v>
      </c>
      <c r="L41" s="19">
        <v>98</v>
      </c>
      <c r="M41" s="19">
        <v>57</v>
      </c>
      <c r="N41" s="30" t="s">
        <v>137</v>
      </c>
      <c r="O41" s="2">
        <v>4</v>
      </c>
      <c r="P41" s="2">
        <v>1</v>
      </c>
      <c r="Q41" s="2">
        <v>1</v>
      </c>
      <c r="S41" s="1">
        <v>101</v>
      </c>
      <c r="T41" s="2" t="b">
        <f t="shared" si="2"/>
        <v>0</v>
      </c>
    </row>
    <row r="42" ht="17.25" customHeight="1" spans="1:20">
      <c r="A42" s="21" t="s">
        <v>92</v>
      </c>
      <c r="B42" s="17">
        <f t="shared" si="16"/>
        <v>763</v>
      </c>
      <c r="C42" s="17">
        <f t="shared" si="17"/>
        <v>763</v>
      </c>
      <c r="D42" s="17">
        <f t="shared" si="18"/>
        <v>0</v>
      </c>
      <c r="E42" s="15">
        <f>ROUND($P$2/$F$7*F42,0)</f>
        <v>21</v>
      </c>
      <c r="F42" s="18">
        <f t="shared" si="19"/>
        <v>226</v>
      </c>
      <c r="G42" s="18">
        <v>28</v>
      </c>
      <c r="H42" s="19">
        <v>113</v>
      </c>
      <c r="I42" s="19">
        <v>85</v>
      </c>
      <c r="J42" s="18">
        <f t="shared" si="20"/>
        <v>0</v>
      </c>
      <c r="K42" s="18"/>
      <c r="L42" s="19"/>
      <c r="M42" s="19"/>
      <c r="N42" s="30" t="s">
        <v>137</v>
      </c>
      <c r="O42" s="2">
        <v>5</v>
      </c>
      <c r="P42" s="2">
        <v>1</v>
      </c>
      <c r="Q42" s="2">
        <v>1</v>
      </c>
      <c r="S42" s="1" t="e">
        <v>#N/A</v>
      </c>
      <c r="T42" s="2" t="e">
        <f t="shared" si="2"/>
        <v>#N/A</v>
      </c>
    </row>
    <row r="43" ht="17.25" customHeight="1" spans="1:20">
      <c r="A43" s="21" t="s">
        <v>90</v>
      </c>
      <c r="B43" s="17">
        <f t="shared" si="16"/>
        <v>582</v>
      </c>
      <c r="C43" s="17">
        <f t="shared" si="17"/>
        <v>582</v>
      </c>
      <c r="D43" s="17">
        <f t="shared" si="18"/>
        <v>0</v>
      </c>
      <c r="E43" s="15">
        <f>ROUND($P$2/$F$7*F43,0)</f>
        <v>17</v>
      </c>
      <c r="F43" s="18">
        <f t="shared" si="19"/>
        <v>178</v>
      </c>
      <c r="G43" s="18">
        <v>38</v>
      </c>
      <c r="H43" s="19">
        <v>97</v>
      </c>
      <c r="I43" s="19">
        <v>43</v>
      </c>
      <c r="J43" s="18">
        <f t="shared" si="20"/>
        <v>0</v>
      </c>
      <c r="K43" s="18"/>
      <c r="L43" s="19"/>
      <c r="M43" s="19"/>
      <c r="N43" s="30" t="s">
        <v>137</v>
      </c>
      <c r="O43" s="2">
        <v>6</v>
      </c>
      <c r="P43" s="2">
        <v>1</v>
      </c>
      <c r="Q43" s="2">
        <v>1</v>
      </c>
      <c r="S43" s="1" t="e">
        <v>#N/A</v>
      </c>
      <c r="T43" s="2" t="e">
        <f t="shared" si="2"/>
        <v>#N/A</v>
      </c>
    </row>
    <row r="44" ht="17.25" customHeight="1" spans="1:20">
      <c r="A44" s="21" t="s">
        <v>91</v>
      </c>
      <c r="B44" s="17">
        <f t="shared" si="16"/>
        <v>585</v>
      </c>
      <c r="C44" s="17">
        <f>ROUND((I44*3.52+H44*3.52+G44*3.52/12*8),0)+1.2</f>
        <v>525.2</v>
      </c>
      <c r="D44" s="17">
        <f>ROUND((M44*3.52+L44*3.52+K44*3.52/12*8),0)-1.2</f>
        <v>59.8</v>
      </c>
      <c r="E44" s="15">
        <f>ROUND($P$2/$F$7*F44,0)</f>
        <v>15</v>
      </c>
      <c r="F44" s="18">
        <f t="shared" si="19"/>
        <v>160</v>
      </c>
      <c r="G44" s="18">
        <v>33</v>
      </c>
      <c r="H44" s="19">
        <v>70</v>
      </c>
      <c r="I44" s="19">
        <v>57</v>
      </c>
      <c r="J44" s="18">
        <f t="shared" si="20"/>
        <v>19</v>
      </c>
      <c r="K44" s="18">
        <v>5</v>
      </c>
      <c r="L44" s="19">
        <v>8</v>
      </c>
      <c r="M44" s="19">
        <v>6</v>
      </c>
      <c r="N44" s="30" t="s">
        <v>137</v>
      </c>
      <c r="O44" s="2">
        <v>7</v>
      </c>
      <c r="P44" s="2">
        <v>1</v>
      </c>
      <c r="Q44" s="2">
        <v>1</v>
      </c>
      <c r="S44" s="1">
        <v>10</v>
      </c>
      <c r="T44" s="2" t="b">
        <f t="shared" si="2"/>
        <v>0</v>
      </c>
    </row>
    <row r="45" ht="17.25" customHeight="1" spans="1:20">
      <c r="A45" s="21" t="s">
        <v>93</v>
      </c>
      <c r="B45" s="17">
        <f t="shared" si="16"/>
        <v>358</v>
      </c>
      <c r="C45" s="17">
        <f t="shared" ref="C45:C51" si="21">ROUND((I45*3.52+H45*3.52+G45*3.52/12*8),0)</f>
        <v>358</v>
      </c>
      <c r="D45" s="17">
        <f t="shared" ref="D45:D51" si="22">ROUND((M45*3.52+L45*3.52+K45*3.52/12*8),0)</f>
        <v>0</v>
      </c>
      <c r="E45" s="15">
        <f>ROUND($P$2/$F$7*F45,0)</f>
        <v>11</v>
      </c>
      <c r="F45" s="18">
        <f t="shared" si="19"/>
        <v>113</v>
      </c>
      <c r="G45" s="18">
        <v>34</v>
      </c>
      <c r="H45" s="19">
        <v>60</v>
      </c>
      <c r="I45" s="19">
        <v>19</v>
      </c>
      <c r="J45" s="18">
        <f t="shared" si="20"/>
        <v>0</v>
      </c>
      <c r="K45" s="18"/>
      <c r="L45" s="19"/>
      <c r="M45" s="19"/>
      <c r="N45" s="30" t="s">
        <v>137</v>
      </c>
      <c r="O45" s="2">
        <v>8</v>
      </c>
      <c r="P45" s="2">
        <v>1</v>
      </c>
      <c r="Q45" s="2">
        <v>1</v>
      </c>
      <c r="S45" s="1" t="e">
        <v>#N/A</v>
      </c>
      <c r="T45" s="2" t="e">
        <f t="shared" si="2"/>
        <v>#N/A</v>
      </c>
    </row>
    <row r="46" s="1" customFormat="1" ht="17.25" customHeight="1" spans="1:20">
      <c r="A46" s="21" t="s">
        <v>81</v>
      </c>
      <c r="B46" s="22">
        <f t="shared" ref="B46:G46" si="23">SUM(B47:B47)</f>
        <v>591</v>
      </c>
      <c r="C46" s="22">
        <f t="shared" si="23"/>
        <v>0</v>
      </c>
      <c r="D46" s="22">
        <f t="shared" si="23"/>
        <v>591</v>
      </c>
      <c r="E46" s="23"/>
      <c r="F46" s="22">
        <f t="shared" si="23"/>
        <v>0</v>
      </c>
      <c r="G46" s="22">
        <f t="shared" si="23"/>
        <v>0</v>
      </c>
      <c r="H46" s="22"/>
      <c r="I46" s="22">
        <f t="shared" ref="I46:M46" si="24">SUM(I47:I47)</f>
        <v>0</v>
      </c>
      <c r="J46" s="22">
        <f t="shared" si="24"/>
        <v>184</v>
      </c>
      <c r="K46" s="22">
        <f t="shared" si="24"/>
        <v>48</v>
      </c>
      <c r="L46" s="22">
        <f t="shared" si="24"/>
        <v>49</v>
      </c>
      <c r="M46" s="22">
        <f t="shared" si="24"/>
        <v>87</v>
      </c>
      <c r="N46" s="30" t="s">
        <v>165</v>
      </c>
      <c r="O46" s="2">
        <v>9</v>
      </c>
      <c r="P46" s="2">
        <v>1</v>
      </c>
      <c r="Q46" s="2">
        <v>1</v>
      </c>
      <c r="R46" s="1">
        <v>1</v>
      </c>
      <c r="S46" s="1" t="e">
        <v>#N/A</v>
      </c>
      <c r="T46" s="2" t="e">
        <f t="shared" si="2"/>
        <v>#N/A</v>
      </c>
    </row>
    <row r="47" ht="17.25" customHeight="1" spans="1:20">
      <c r="A47" s="25" t="s">
        <v>202</v>
      </c>
      <c r="B47" s="17">
        <f t="shared" ref="B47:B51" si="25">SUM(C47:D47)</f>
        <v>591</v>
      </c>
      <c r="C47" s="17">
        <f t="shared" si="21"/>
        <v>0</v>
      </c>
      <c r="D47" s="17">
        <f t="shared" si="22"/>
        <v>591</v>
      </c>
      <c r="E47" s="15">
        <f>ROUND($P$2/$F$7*F47,0)</f>
        <v>0</v>
      </c>
      <c r="F47" s="18">
        <f t="shared" ref="F47:F51" si="26">SUM(G47:I47)</f>
        <v>0</v>
      </c>
      <c r="G47" s="18"/>
      <c r="H47" s="19"/>
      <c r="I47" s="19"/>
      <c r="J47" s="18">
        <f t="shared" ref="J47:J51" si="27">SUM(K47:M47)</f>
        <v>184</v>
      </c>
      <c r="K47" s="18">
        <v>48</v>
      </c>
      <c r="L47" s="19">
        <v>49</v>
      </c>
      <c r="M47" s="19">
        <v>87</v>
      </c>
      <c r="N47" s="30" t="s">
        <v>165</v>
      </c>
      <c r="O47" s="2">
        <v>10</v>
      </c>
      <c r="P47" s="2">
        <v>1</v>
      </c>
      <c r="Q47" s="2">
        <v>1</v>
      </c>
      <c r="R47" s="2">
        <v>1</v>
      </c>
      <c r="S47" s="1">
        <v>49</v>
      </c>
      <c r="T47" s="2" t="b">
        <f t="shared" si="2"/>
        <v>0</v>
      </c>
    </row>
    <row r="48" ht="17.25" customHeight="1" spans="1:20">
      <c r="A48" s="21" t="s">
        <v>84</v>
      </c>
      <c r="B48" s="17">
        <f t="shared" si="25"/>
        <v>1017</v>
      </c>
      <c r="C48" s="17">
        <f t="shared" si="21"/>
        <v>994</v>
      </c>
      <c r="D48" s="17">
        <f t="shared" si="22"/>
        <v>23</v>
      </c>
      <c r="E48" s="15">
        <f>ROUND($P$2/$F$7*F48,0)+1</f>
        <v>37</v>
      </c>
      <c r="F48" s="18">
        <f t="shared" si="26"/>
        <v>376</v>
      </c>
      <c r="G48" s="18">
        <v>281</v>
      </c>
      <c r="H48" s="19">
        <v>65</v>
      </c>
      <c r="I48" s="19">
        <v>30</v>
      </c>
      <c r="J48" s="18">
        <f t="shared" si="27"/>
        <v>10</v>
      </c>
      <c r="K48" s="18">
        <v>10</v>
      </c>
      <c r="L48" s="19"/>
      <c r="M48" s="19"/>
      <c r="N48" s="30" t="s">
        <v>165</v>
      </c>
      <c r="O48" s="2">
        <v>11</v>
      </c>
      <c r="P48" s="2">
        <v>1</v>
      </c>
      <c r="Q48" s="2">
        <v>1</v>
      </c>
      <c r="R48" s="2">
        <v>1</v>
      </c>
      <c r="S48" s="1" t="e">
        <v>#N/A</v>
      </c>
      <c r="T48" s="2" t="e">
        <f t="shared" si="2"/>
        <v>#N/A</v>
      </c>
    </row>
    <row r="49" ht="17.25" customHeight="1" spans="1:20">
      <c r="A49" s="21" t="s">
        <v>85</v>
      </c>
      <c r="B49" s="17">
        <f t="shared" si="25"/>
        <v>1144</v>
      </c>
      <c r="C49" s="17">
        <f t="shared" si="21"/>
        <v>0</v>
      </c>
      <c r="D49" s="17">
        <f t="shared" si="22"/>
        <v>1144</v>
      </c>
      <c r="E49" s="15">
        <f>ROUND($P$2/$F$7*F49,0)</f>
        <v>0</v>
      </c>
      <c r="F49" s="18">
        <f t="shared" si="26"/>
        <v>0</v>
      </c>
      <c r="G49" s="18"/>
      <c r="H49" s="19"/>
      <c r="I49" s="19"/>
      <c r="J49" s="18">
        <f t="shared" si="27"/>
        <v>397</v>
      </c>
      <c r="K49" s="18">
        <v>216</v>
      </c>
      <c r="L49" s="19">
        <v>103</v>
      </c>
      <c r="M49" s="19">
        <v>78</v>
      </c>
      <c r="N49" s="30" t="s">
        <v>137</v>
      </c>
      <c r="O49" s="2">
        <v>12</v>
      </c>
      <c r="P49" s="2">
        <v>1</v>
      </c>
      <c r="Q49" s="2">
        <v>1</v>
      </c>
      <c r="R49" s="2">
        <v>1</v>
      </c>
      <c r="S49" s="1">
        <v>103</v>
      </c>
      <c r="T49" s="2" t="b">
        <f t="shared" si="2"/>
        <v>0</v>
      </c>
    </row>
    <row r="50" ht="17.25" customHeight="1" spans="1:20">
      <c r="A50" s="21" t="s">
        <v>86</v>
      </c>
      <c r="B50" s="17">
        <f t="shared" si="25"/>
        <v>737</v>
      </c>
      <c r="C50" s="17">
        <f t="shared" si="21"/>
        <v>0</v>
      </c>
      <c r="D50" s="17">
        <f t="shared" si="22"/>
        <v>737</v>
      </c>
      <c r="E50" s="15">
        <f>ROUND($P$2/$F$7*F50,0)</f>
        <v>0</v>
      </c>
      <c r="F50" s="18">
        <f t="shared" si="26"/>
        <v>0</v>
      </c>
      <c r="G50" s="18"/>
      <c r="H50" s="19"/>
      <c r="I50" s="19"/>
      <c r="J50" s="18">
        <f t="shared" si="27"/>
        <v>239</v>
      </c>
      <c r="K50" s="18">
        <v>89</v>
      </c>
      <c r="L50" s="19">
        <v>81</v>
      </c>
      <c r="M50" s="19">
        <v>69</v>
      </c>
      <c r="N50" s="30" t="s">
        <v>165</v>
      </c>
      <c r="O50" s="2" t="s">
        <v>203</v>
      </c>
      <c r="R50" s="2" t="s">
        <v>204</v>
      </c>
      <c r="S50" s="1">
        <v>81</v>
      </c>
      <c r="T50" s="2" t="b">
        <f t="shared" si="2"/>
        <v>0</v>
      </c>
    </row>
    <row r="51" ht="17.25" customHeight="1" spans="1:20">
      <c r="A51" s="21" t="s">
        <v>87</v>
      </c>
      <c r="B51" s="17">
        <f t="shared" si="25"/>
        <v>648</v>
      </c>
      <c r="C51" s="17">
        <f t="shared" si="21"/>
        <v>648</v>
      </c>
      <c r="D51" s="17">
        <f t="shared" si="22"/>
        <v>0</v>
      </c>
      <c r="E51" s="15">
        <f>ROUND($P$2/$F$7*F51,0)</f>
        <v>19</v>
      </c>
      <c r="F51" s="18">
        <f t="shared" si="26"/>
        <v>200</v>
      </c>
      <c r="G51" s="18">
        <v>48</v>
      </c>
      <c r="H51" s="19">
        <v>76</v>
      </c>
      <c r="I51" s="19">
        <v>76</v>
      </c>
      <c r="J51" s="18">
        <f t="shared" si="27"/>
        <v>0</v>
      </c>
      <c r="K51" s="18"/>
      <c r="L51" s="19"/>
      <c r="M51" s="19"/>
      <c r="N51" s="30" t="s">
        <v>165</v>
      </c>
      <c r="O51" s="2">
        <v>1</v>
      </c>
      <c r="P51" s="2">
        <v>1</v>
      </c>
      <c r="Q51" s="2">
        <v>1</v>
      </c>
      <c r="R51" s="2">
        <v>1</v>
      </c>
      <c r="S51" s="1" t="e">
        <v>#N/A</v>
      </c>
      <c r="T51" s="2" t="e">
        <f t="shared" si="2"/>
        <v>#N/A</v>
      </c>
    </row>
    <row r="52" s="1" customFormat="1" ht="17.25" customHeight="1" spans="1:20">
      <c r="A52" s="21" t="s">
        <v>94</v>
      </c>
      <c r="B52" s="26">
        <f t="shared" ref="B52:M52" si="28">SUM(B53:B60)</f>
        <v>1587</v>
      </c>
      <c r="C52" s="26">
        <f t="shared" si="28"/>
        <v>1482</v>
      </c>
      <c r="D52" s="26">
        <f t="shared" si="28"/>
        <v>105</v>
      </c>
      <c r="E52" s="15">
        <f t="shared" si="28"/>
        <v>44</v>
      </c>
      <c r="F52" s="26">
        <f t="shared" si="28"/>
        <v>458</v>
      </c>
      <c r="G52" s="26">
        <f t="shared" si="28"/>
        <v>111</v>
      </c>
      <c r="H52" s="14">
        <f t="shared" si="28"/>
        <v>188</v>
      </c>
      <c r="I52" s="14">
        <f t="shared" si="28"/>
        <v>159</v>
      </c>
      <c r="J52" s="26">
        <f t="shared" si="28"/>
        <v>33</v>
      </c>
      <c r="K52" s="26">
        <f t="shared" si="28"/>
        <v>10</v>
      </c>
      <c r="L52" s="14">
        <f t="shared" si="28"/>
        <v>8</v>
      </c>
      <c r="M52" s="14">
        <f t="shared" si="28"/>
        <v>15</v>
      </c>
      <c r="N52" s="30" t="s">
        <v>137</v>
      </c>
      <c r="O52" s="1">
        <v>2</v>
      </c>
      <c r="P52" s="2">
        <v>1</v>
      </c>
      <c r="Q52" s="2">
        <v>1</v>
      </c>
      <c r="R52" s="1">
        <v>1</v>
      </c>
      <c r="S52" s="1" t="e">
        <v>#N/A</v>
      </c>
      <c r="T52" s="2" t="e">
        <f t="shared" si="2"/>
        <v>#N/A</v>
      </c>
    </row>
    <row r="53" ht="17.25" customHeight="1" spans="1:20">
      <c r="A53" s="24" t="s">
        <v>95</v>
      </c>
      <c r="B53" s="17">
        <f t="shared" ref="B53:B61" si="29">SUM(C53:D53)</f>
        <v>112</v>
      </c>
      <c r="C53" s="17">
        <f t="shared" ref="C53:C61" si="30">ROUND((I53*3.52+H53*3.52+G53*3.52/12*8),0)</f>
        <v>84</v>
      </c>
      <c r="D53" s="17">
        <f t="shared" ref="D53:D61" si="31">ROUND((M53*3.52+L53*3.52+K53*3.52/12*8),0)</f>
        <v>28</v>
      </c>
      <c r="E53" s="15">
        <f>ROUND($P$2/$F$7*F53,0)</f>
        <v>2</v>
      </c>
      <c r="F53" s="18">
        <f t="shared" ref="F53:F61" si="32">SUM(G53:I53)</f>
        <v>24</v>
      </c>
      <c r="G53" s="18"/>
      <c r="H53" s="19">
        <v>13</v>
      </c>
      <c r="I53" s="19">
        <v>11</v>
      </c>
      <c r="J53" s="18">
        <f t="shared" ref="J53:J61" si="33">SUM(K53:M53)</f>
        <v>8</v>
      </c>
      <c r="K53" s="18"/>
      <c r="L53" s="19">
        <v>2</v>
      </c>
      <c r="M53" s="19">
        <v>6</v>
      </c>
      <c r="N53" s="30"/>
      <c r="O53" s="2">
        <v>3</v>
      </c>
      <c r="P53" s="2">
        <v>1</v>
      </c>
      <c r="Q53" s="2">
        <v>1</v>
      </c>
      <c r="R53" s="2">
        <v>1</v>
      </c>
      <c r="S53" s="1">
        <v>2</v>
      </c>
      <c r="T53" s="2" t="b">
        <f t="shared" si="2"/>
        <v>0</v>
      </c>
    </row>
    <row r="54" ht="17.25" customHeight="1" spans="1:20">
      <c r="A54" s="24" t="s">
        <v>97</v>
      </c>
      <c r="B54" s="17">
        <f t="shared" si="29"/>
        <v>483</v>
      </c>
      <c r="C54" s="17">
        <f t="shared" si="30"/>
        <v>483</v>
      </c>
      <c r="D54" s="17">
        <f t="shared" si="31"/>
        <v>0</v>
      </c>
      <c r="E54" s="15">
        <f>ROUND($P$2/$F$7*F54,0)</f>
        <v>15</v>
      </c>
      <c r="F54" s="18">
        <f t="shared" si="32"/>
        <v>153</v>
      </c>
      <c r="G54" s="18">
        <v>47</v>
      </c>
      <c r="H54" s="19">
        <v>55</v>
      </c>
      <c r="I54" s="19">
        <v>51</v>
      </c>
      <c r="J54" s="18">
        <f t="shared" si="33"/>
        <v>0</v>
      </c>
      <c r="K54" s="18"/>
      <c r="L54" s="19"/>
      <c r="M54" s="19"/>
      <c r="N54" s="30"/>
      <c r="O54" s="2">
        <v>4</v>
      </c>
      <c r="P54" s="2">
        <v>1</v>
      </c>
      <c r="Q54" s="2">
        <v>1</v>
      </c>
      <c r="R54" s="2">
        <v>1</v>
      </c>
      <c r="S54" s="1" t="e">
        <v>#N/A</v>
      </c>
      <c r="T54" s="2" t="e">
        <f t="shared" si="2"/>
        <v>#N/A</v>
      </c>
    </row>
    <row r="55" ht="17.25" customHeight="1" spans="1:20">
      <c r="A55" s="24" t="s">
        <v>100</v>
      </c>
      <c r="B55" s="17">
        <f t="shared" si="29"/>
        <v>217</v>
      </c>
      <c r="C55" s="17">
        <f t="shared" si="30"/>
        <v>194</v>
      </c>
      <c r="D55" s="17">
        <f t="shared" si="31"/>
        <v>23</v>
      </c>
      <c r="E55" s="15">
        <f>ROUND($P$2/$F$7*F55,0)</f>
        <v>6</v>
      </c>
      <c r="F55" s="18">
        <f t="shared" si="32"/>
        <v>59</v>
      </c>
      <c r="G55" s="18">
        <v>12</v>
      </c>
      <c r="H55" s="19">
        <v>24</v>
      </c>
      <c r="I55" s="19">
        <v>23</v>
      </c>
      <c r="J55" s="18">
        <f t="shared" si="33"/>
        <v>8</v>
      </c>
      <c r="K55" s="18">
        <v>4</v>
      </c>
      <c r="L55" s="19">
        <v>2</v>
      </c>
      <c r="M55" s="19">
        <v>2</v>
      </c>
      <c r="N55" s="30"/>
      <c r="O55" s="1">
        <v>5</v>
      </c>
      <c r="P55" s="2">
        <v>1</v>
      </c>
      <c r="Q55" s="2">
        <v>1</v>
      </c>
      <c r="R55" s="2">
        <v>1</v>
      </c>
      <c r="S55" s="1">
        <v>3</v>
      </c>
      <c r="T55" s="2" t="b">
        <f t="shared" si="2"/>
        <v>0</v>
      </c>
    </row>
    <row r="56" ht="17.25" customHeight="1" spans="1:20">
      <c r="A56" s="24" t="s">
        <v>96</v>
      </c>
      <c r="B56" s="17">
        <f t="shared" si="29"/>
        <v>15</v>
      </c>
      <c r="C56" s="17">
        <f t="shared" si="30"/>
        <v>11</v>
      </c>
      <c r="D56" s="17">
        <f t="shared" si="31"/>
        <v>4</v>
      </c>
      <c r="E56" s="15">
        <f>ROUND($P$2/$F$7*F56,0)</f>
        <v>0</v>
      </c>
      <c r="F56" s="18">
        <f t="shared" si="32"/>
        <v>3</v>
      </c>
      <c r="G56" s="18"/>
      <c r="H56" s="19">
        <v>1</v>
      </c>
      <c r="I56" s="19">
        <v>2</v>
      </c>
      <c r="J56" s="18">
        <f t="shared" si="33"/>
        <v>1</v>
      </c>
      <c r="K56" s="18"/>
      <c r="L56" s="19"/>
      <c r="M56" s="19">
        <v>1</v>
      </c>
      <c r="N56" s="30"/>
      <c r="O56" s="2">
        <v>6</v>
      </c>
      <c r="P56" s="2">
        <v>1</v>
      </c>
      <c r="Q56" s="2">
        <v>1</v>
      </c>
      <c r="R56" s="2">
        <v>1</v>
      </c>
      <c r="S56" s="1" t="e">
        <v>#N/A</v>
      </c>
      <c r="T56" s="2" t="e">
        <f t="shared" si="2"/>
        <v>#N/A</v>
      </c>
    </row>
    <row r="57" ht="17.25" customHeight="1" spans="1:20">
      <c r="A57" s="24" t="s">
        <v>98</v>
      </c>
      <c r="B57" s="17">
        <f t="shared" si="29"/>
        <v>182</v>
      </c>
      <c r="C57" s="17">
        <f t="shared" si="30"/>
        <v>182</v>
      </c>
      <c r="D57" s="17">
        <f t="shared" si="31"/>
        <v>0</v>
      </c>
      <c r="E57" s="15">
        <f>ROUND($P$2/$F$7*F57,0)</f>
        <v>5</v>
      </c>
      <c r="F57" s="18">
        <f t="shared" si="32"/>
        <v>55</v>
      </c>
      <c r="G57" s="18">
        <v>10</v>
      </c>
      <c r="H57" s="19">
        <v>32</v>
      </c>
      <c r="I57" s="19">
        <v>13</v>
      </c>
      <c r="J57" s="18">
        <f t="shared" si="33"/>
        <v>0</v>
      </c>
      <c r="K57" s="18"/>
      <c r="L57" s="19"/>
      <c r="M57" s="19"/>
      <c r="N57" s="30"/>
      <c r="O57" s="2">
        <v>7</v>
      </c>
      <c r="P57" s="2">
        <v>1</v>
      </c>
      <c r="Q57" s="2">
        <v>1</v>
      </c>
      <c r="R57" s="2">
        <v>1</v>
      </c>
      <c r="S57" s="1" t="e">
        <v>#N/A</v>
      </c>
      <c r="T57" s="2" t="e">
        <f t="shared" si="2"/>
        <v>#N/A</v>
      </c>
    </row>
    <row r="58" ht="17.25" customHeight="1" spans="1:20">
      <c r="A58" s="24" t="s">
        <v>99</v>
      </c>
      <c r="B58" s="17">
        <f t="shared" si="29"/>
        <v>91</v>
      </c>
      <c r="C58" s="17">
        <f t="shared" si="30"/>
        <v>72</v>
      </c>
      <c r="D58" s="17">
        <f t="shared" si="31"/>
        <v>19</v>
      </c>
      <c r="E58" s="15">
        <f>ROUND($P$2/$F$7*F58,0)</f>
        <v>2</v>
      </c>
      <c r="F58" s="18">
        <f t="shared" si="32"/>
        <v>23</v>
      </c>
      <c r="G58" s="18">
        <v>8</v>
      </c>
      <c r="H58" s="19">
        <v>8</v>
      </c>
      <c r="I58" s="19">
        <v>7</v>
      </c>
      <c r="J58" s="18">
        <f t="shared" si="33"/>
        <v>6</v>
      </c>
      <c r="K58" s="18">
        <v>2</v>
      </c>
      <c r="L58" s="19">
        <v>2</v>
      </c>
      <c r="M58" s="19">
        <v>2</v>
      </c>
      <c r="N58" s="30"/>
      <c r="O58" s="1">
        <v>8</v>
      </c>
      <c r="P58" s="2">
        <v>1</v>
      </c>
      <c r="Q58" s="2">
        <v>1</v>
      </c>
      <c r="R58" s="2">
        <v>1</v>
      </c>
      <c r="S58" s="1">
        <v>2</v>
      </c>
      <c r="T58" s="2" t="b">
        <f t="shared" si="2"/>
        <v>1</v>
      </c>
    </row>
    <row r="59" ht="17.25" customHeight="1" spans="1:20">
      <c r="A59" s="24" t="s">
        <v>102</v>
      </c>
      <c r="B59" s="17">
        <f t="shared" si="29"/>
        <v>202</v>
      </c>
      <c r="C59" s="17">
        <f t="shared" si="30"/>
        <v>197</v>
      </c>
      <c r="D59" s="17">
        <f t="shared" si="31"/>
        <v>5</v>
      </c>
      <c r="E59" s="15">
        <f>ROUND($P$2/$F$7*F59,0)</f>
        <v>6</v>
      </c>
      <c r="F59" s="18">
        <f t="shared" si="32"/>
        <v>62</v>
      </c>
      <c r="G59" s="18">
        <v>18</v>
      </c>
      <c r="H59" s="19">
        <v>21</v>
      </c>
      <c r="I59" s="19">
        <v>23</v>
      </c>
      <c r="J59" s="18">
        <f t="shared" si="33"/>
        <v>2</v>
      </c>
      <c r="K59" s="18">
        <v>2</v>
      </c>
      <c r="L59" s="19"/>
      <c r="M59" s="19"/>
      <c r="N59" s="30"/>
      <c r="O59" s="2">
        <v>9</v>
      </c>
      <c r="Q59" s="2">
        <v>1</v>
      </c>
      <c r="R59" s="2">
        <v>1</v>
      </c>
      <c r="S59" s="1" t="e">
        <v>#N/A</v>
      </c>
      <c r="T59" s="2" t="e">
        <f t="shared" si="2"/>
        <v>#N/A</v>
      </c>
    </row>
    <row r="60" ht="17.25" customHeight="1" spans="1:20">
      <c r="A60" s="24" t="s">
        <v>101</v>
      </c>
      <c r="B60" s="17">
        <f t="shared" si="29"/>
        <v>285</v>
      </c>
      <c r="C60" s="17">
        <f t="shared" si="30"/>
        <v>259</v>
      </c>
      <c r="D60" s="17">
        <f t="shared" si="31"/>
        <v>26</v>
      </c>
      <c r="E60" s="15">
        <f>ROUND($P$2/$F$7*F60,0)</f>
        <v>8</v>
      </c>
      <c r="F60" s="18">
        <f t="shared" si="32"/>
        <v>79</v>
      </c>
      <c r="G60" s="18">
        <v>16</v>
      </c>
      <c r="H60" s="19">
        <v>34</v>
      </c>
      <c r="I60" s="19">
        <v>29</v>
      </c>
      <c r="J60" s="18">
        <f t="shared" si="33"/>
        <v>8</v>
      </c>
      <c r="K60" s="18">
        <v>2</v>
      </c>
      <c r="L60" s="19">
        <v>2</v>
      </c>
      <c r="M60" s="19">
        <v>4</v>
      </c>
      <c r="N60" s="30"/>
      <c r="O60" s="2">
        <v>10</v>
      </c>
      <c r="Q60" s="2">
        <v>1</v>
      </c>
      <c r="R60" s="2">
        <v>1</v>
      </c>
      <c r="S60" s="1">
        <v>2</v>
      </c>
      <c r="T60" s="2" t="b">
        <f t="shared" si="2"/>
        <v>0</v>
      </c>
    </row>
    <row r="61" ht="17.25" customHeight="1" spans="1:20">
      <c r="A61" s="21" t="s">
        <v>103</v>
      </c>
      <c r="B61" s="17">
        <f t="shared" si="29"/>
        <v>191</v>
      </c>
      <c r="C61" s="17">
        <f t="shared" si="30"/>
        <v>184</v>
      </c>
      <c r="D61" s="17">
        <f t="shared" si="31"/>
        <v>7</v>
      </c>
      <c r="E61" s="15">
        <f>ROUND($P$2/$F$7*F61,0)</f>
        <v>6</v>
      </c>
      <c r="F61" s="18">
        <f t="shared" si="32"/>
        <v>61</v>
      </c>
      <c r="G61" s="27">
        <v>26</v>
      </c>
      <c r="H61" s="27">
        <v>19</v>
      </c>
      <c r="I61" s="19">
        <v>16</v>
      </c>
      <c r="J61" s="18">
        <f t="shared" si="33"/>
        <v>2</v>
      </c>
      <c r="K61" s="27"/>
      <c r="L61" s="27"/>
      <c r="M61" s="19">
        <v>2</v>
      </c>
      <c r="N61" s="30" t="s">
        <v>165</v>
      </c>
      <c r="O61" s="1">
        <v>11</v>
      </c>
      <c r="Q61" s="2">
        <v>1</v>
      </c>
      <c r="R61" s="2">
        <v>1</v>
      </c>
      <c r="S61" s="1" t="e">
        <v>#N/A</v>
      </c>
      <c r="T61" s="2" t="e">
        <f t="shared" si="2"/>
        <v>#N/A</v>
      </c>
    </row>
    <row r="62" spans="1:18">
      <c r="A62" s="3"/>
      <c r="O62" s="2">
        <v>12</v>
      </c>
      <c r="Q62" s="2">
        <v>1</v>
      </c>
      <c r="R62" s="2">
        <v>1</v>
      </c>
    </row>
    <row r="63" ht="13.5" spans="1:1">
      <c r="A63" s="3"/>
    </row>
    <row r="64" ht="13.5" spans="1:1">
      <c r="A64" s="3"/>
    </row>
    <row r="65" ht="13.5" spans="1:1">
      <c r="A65" s="3"/>
    </row>
    <row r="66" ht="13.5" spans="1:1">
      <c r="A66" s="3"/>
    </row>
    <row r="67" ht="13.5" spans="1:1">
      <c r="A67" s="3"/>
    </row>
    <row r="68" ht="13.5" spans="1:1">
      <c r="A68" s="3"/>
    </row>
    <row r="69" ht="13.5" spans="1:1">
      <c r="A69" s="3"/>
    </row>
    <row r="70" ht="13.5" spans="1:1">
      <c r="A70" s="3"/>
    </row>
    <row r="71" ht="13.5" spans="1:1">
      <c r="A71" s="3"/>
    </row>
    <row r="72" ht="13.5" spans="1:1">
      <c r="A72" s="3"/>
    </row>
    <row r="73" ht="13.5" spans="1:1">
      <c r="A73" s="3"/>
    </row>
    <row r="74" ht="13.5" spans="1:1">
      <c r="A74" s="3"/>
    </row>
    <row r="75" ht="13.5" spans="1:1">
      <c r="A75" s="3"/>
    </row>
    <row r="76" ht="13.5" spans="1:1">
      <c r="A76" s="3"/>
    </row>
    <row r="77" ht="13.5" spans="1:1">
      <c r="A77" s="3"/>
    </row>
    <row r="78" ht="13.5" spans="1:1">
      <c r="A78" s="3"/>
    </row>
    <row r="79" ht="13.5" spans="1:1">
      <c r="A79" s="3"/>
    </row>
    <row r="80" ht="13.5" spans="1:1">
      <c r="A80" s="3"/>
    </row>
    <row r="81" ht="13.5" spans="1:1">
      <c r="A81" s="3"/>
    </row>
    <row r="82" ht="13.5" spans="1:1">
      <c r="A82" s="3"/>
    </row>
    <row r="83" ht="13.5" spans="1:1">
      <c r="A83" s="3"/>
    </row>
    <row r="84" ht="13.5" spans="1:1">
      <c r="A84" s="3"/>
    </row>
  </sheetData>
  <mergeCells count="12">
    <mergeCell ref="A2:M2"/>
    <mergeCell ref="A3:M3"/>
    <mergeCell ref="B4:D4"/>
    <mergeCell ref="F4:M4"/>
    <mergeCell ref="F5:I5"/>
    <mergeCell ref="J5:M5"/>
    <mergeCell ref="A4:A6"/>
    <mergeCell ref="B5:B6"/>
    <mergeCell ref="C5:C6"/>
    <mergeCell ref="D5:D6"/>
    <mergeCell ref="E4:E6"/>
    <mergeCell ref="N4:N6"/>
  </mergeCells>
  <printOptions horizontalCentered="1" verticalCentered="1"/>
  <pageMargins left="0.471527777777778" right="0.471527777777778" top="0.979166666666667" bottom="0.979166666666667" header="0.507638888888889" footer="0.507638888888889"/>
  <pageSetup paperSize="9" scale="80" orientation="portrait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附件1合计下达表</vt:lpstr>
      <vt:lpstr>附件1合计下达表 (2)</vt:lpstr>
      <vt:lpstr>附件2家困生补助</vt:lpstr>
      <vt:lpstr>附件5校舍安全1</vt:lpstr>
      <vt:lpstr>附件5特岗教师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艾梦希</cp:lastModifiedBy>
  <dcterms:created xsi:type="dcterms:W3CDTF">2020-06-24T05:22:00Z</dcterms:created>
  <dcterms:modified xsi:type="dcterms:W3CDTF">2021-12-31T06:12:20Z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KSOReadingLayout">
    <vt:bool>true</vt:bool>
  </property>
</Properties>
</file>