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545" activeTab="0"/>
  </bookViews>
  <sheets>
    <sheet name="省财政下达" sheetId="1" r:id="rId1"/>
    <sheet name="省财政审核" sheetId="2" r:id="rId2"/>
    <sheet name="省交投申报部分" sheetId="3" r:id="rId3"/>
    <sheet name="Sheet3" sheetId="4" r:id="rId4"/>
  </sheets>
  <definedNames>
    <definedName name="_xlnm.Print_Area" localSheetId="1">'省财政审核'!$A$1:$N$35</definedName>
    <definedName name="_xlnm.Print_Area" localSheetId="0">'省财政下达'!$A$1:$H$14</definedName>
    <definedName name="_xlnm.Print_Titles" localSheetId="1">'省财政审核'!$4:$5</definedName>
    <definedName name="_xlnm.Print_Titles" localSheetId="0">'省财政下达'!$4:$5</definedName>
  </definedNames>
  <calcPr fullCalcOnLoad="1"/>
</workbook>
</file>

<file path=xl/sharedStrings.xml><?xml version="1.0" encoding="utf-8"?>
<sst xmlns="http://schemas.openxmlformats.org/spreadsheetml/2006/main" count="211" uniqueCount="107">
  <si>
    <t>附件1：</t>
  </si>
  <si>
    <t>2016年吉林省铁路建设市县征地拆迁融资贴息资金申请表</t>
  </si>
  <si>
    <t>填制单位：</t>
  </si>
  <si>
    <t>单位：万元</t>
  </si>
  <si>
    <t>序号</t>
  </si>
  <si>
    <t>市县</t>
  </si>
  <si>
    <t>项目名称</t>
  </si>
  <si>
    <t>融资性质</t>
  </si>
  <si>
    <t>融资利率</t>
  </si>
  <si>
    <t>申请贴息利率</t>
  </si>
  <si>
    <t>拨付市县时间
（年/月/日）</t>
  </si>
  <si>
    <t>金额</t>
  </si>
  <si>
    <t>申请贴息资金</t>
  </si>
  <si>
    <t>合计</t>
  </si>
  <si>
    <t>2014年</t>
  </si>
  <si>
    <t>2015年</t>
  </si>
  <si>
    <t>2016年</t>
  </si>
  <si>
    <t>融 资 性 质 ：省交投集团代融、国家专项建设债券（基金）资金、省政府债券转贷资金、项目实施主体市场化运作；
申请贴息利率：按吉财建[2016]27号确定利率填写；
申请贴息资金：按申请贴息率计算。</t>
  </si>
  <si>
    <t>农安县</t>
  </si>
  <si>
    <t>长春至白城铁路建设</t>
  </si>
  <si>
    <t>省政府债券转贷资金</t>
  </si>
  <si>
    <t>省财政审核额度</t>
  </si>
  <si>
    <t>省财政审核意见</t>
  </si>
  <si>
    <t>长春至白城铁路扩能改造</t>
  </si>
  <si>
    <t>省政府债券转贷资金</t>
  </si>
  <si>
    <t>大安市</t>
  </si>
  <si>
    <t>一、农安县</t>
  </si>
  <si>
    <t>二、大安市</t>
  </si>
  <si>
    <t>三、伊通县</t>
  </si>
  <si>
    <t>伊通满族自治县</t>
  </si>
  <si>
    <t>辽源至长春铁路伊通段征地拆迁资金</t>
  </si>
  <si>
    <t>辽源市</t>
  </si>
  <si>
    <t>长辽铁路建设</t>
  </si>
  <si>
    <t>七年期</t>
  </si>
  <si>
    <t>四、辽源市</t>
  </si>
  <si>
    <t>原上报为2015、2016年，实际上不足2整年，建议删除2015年贴息资金</t>
  </si>
  <si>
    <t>白城市</t>
  </si>
  <si>
    <t>白城至镇西铁路征地拆迁</t>
  </si>
  <si>
    <t>省政府债券转贷资金</t>
  </si>
  <si>
    <t>白城至镇西、长春至白城铁路征地拆迁</t>
  </si>
  <si>
    <t>长白铁路征地拆迁</t>
  </si>
  <si>
    <t>长春至白城铁路征地拆迁</t>
  </si>
  <si>
    <t>非铁路贴息，建议去掉</t>
  </si>
  <si>
    <t>2015.8.31</t>
  </si>
  <si>
    <t>五、白城市</t>
  </si>
  <si>
    <t>六、前郭县</t>
  </si>
  <si>
    <t>前郭县</t>
  </si>
  <si>
    <t>2015年非整年，建议删除</t>
  </si>
  <si>
    <t>原上报为2015年，建议放入2016年贴息资金</t>
  </si>
  <si>
    <t>长春市</t>
  </si>
  <si>
    <t>长白铁路</t>
  </si>
  <si>
    <t>新增专项债券</t>
  </si>
  <si>
    <t>辽长铁路</t>
  </si>
  <si>
    <t>2016.2.5</t>
  </si>
  <si>
    <t>缺财政厅与长春市协议今年还未签</t>
  </si>
  <si>
    <t>松原市</t>
  </si>
  <si>
    <t>与交投3000万元未打款，尽快补齐手续</t>
  </si>
  <si>
    <t>七、长春市</t>
  </si>
  <si>
    <t>八、松原市</t>
  </si>
  <si>
    <t>合计：</t>
  </si>
  <si>
    <t>长白铁路</t>
  </si>
  <si>
    <t>白城</t>
  </si>
  <si>
    <t>国家专项债券（一期）</t>
  </si>
  <si>
    <t>大安</t>
  </si>
  <si>
    <t>前郭</t>
  </si>
  <si>
    <t>农安</t>
  </si>
  <si>
    <t>松原</t>
  </si>
  <si>
    <t>长春</t>
  </si>
  <si>
    <t>国家专项债券（二期）</t>
  </si>
  <si>
    <t>省交投集团</t>
  </si>
  <si>
    <t>下达资金</t>
  </si>
  <si>
    <t>融资本金</t>
  </si>
  <si>
    <t>下达时间</t>
  </si>
  <si>
    <t>贴息利率</t>
  </si>
  <si>
    <t>专项建设基金</t>
  </si>
  <si>
    <t>附件</t>
  </si>
  <si>
    <r>
      <rPr>
        <sz val="10"/>
        <rFont val="宋体"/>
        <family val="0"/>
      </rPr>
      <t>附件</t>
    </r>
    <r>
      <rPr>
        <sz val="10"/>
        <rFont val="Arial Narrow"/>
        <family val="2"/>
      </rPr>
      <t>1</t>
    </r>
    <r>
      <rPr>
        <sz val="10"/>
        <rFont val="宋体"/>
        <family val="0"/>
      </rPr>
      <t>：</t>
    </r>
  </si>
  <si>
    <r>
      <t>2016</t>
    </r>
    <r>
      <rPr>
        <b/>
        <sz val="14"/>
        <rFont val="宋体"/>
        <family val="0"/>
      </rPr>
      <t>年吉林省铁路建设市县征地拆迁融资贴息资金申请表</t>
    </r>
  </si>
  <si>
    <r>
      <rPr>
        <sz val="10"/>
        <rFont val="宋体"/>
        <family val="0"/>
      </rPr>
      <t>填制单位：</t>
    </r>
  </si>
  <si>
    <r>
      <rPr>
        <sz val="10"/>
        <rFont val="宋体"/>
        <family val="0"/>
      </rPr>
      <t>单位：万元</t>
    </r>
  </si>
  <si>
    <r>
      <rPr>
        <sz val="10"/>
        <rFont val="宋体"/>
        <family val="0"/>
      </rPr>
      <t>序号</t>
    </r>
  </si>
  <si>
    <r>
      <rPr>
        <sz val="10"/>
        <rFont val="宋体"/>
        <family val="0"/>
      </rPr>
      <t>市县</t>
    </r>
  </si>
  <si>
    <r>
      <rPr>
        <sz val="10"/>
        <rFont val="宋体"/>
        <family val="0"/>
      </rPr>
      <t>项目名称</t>
    </r>
  </si>
  <si>
    <r>
      <rPr>
        <sz val="10"/>
        <rFont val="宋体"/>
        <family val="0"/>
      </rPr>
      <t>融资性质</t>
    </r>
  </si>
  <si>
    <r>
      <rPr>
        <sz val="10"/>
        <rFont val="宋体"/>
        <family val="0"/>
      </rPr>
      <t>融资利率</t>
    </r>
  </si>
  <si>
    <r>
      <rPr>
        <sz val="10"/>
        <rFont val="宋体"/>
        <family val="0"/>
      </rPr>
      <t>申请贴息利率</t>
    </r>
  </si>
  <si>
    <r>
      <rPr>
        <sz val="10"/>
        <rFont val="宋体"/>
        <family val="0"/>
      </rPr>
      <t>拨付市县时间
（年</t>
    </r>
    <r>
      <rPr>
        <sz val="10"/>
        <rFont val="Arial Narrow"/>
        <family val="2"/>
      </rPr>
      <t>/</t>
    </r>
    <r>
      <rPr>
        <sz val="10"/>
        <rFont val="宋体"/>
        <family val="0"/>
      </rPr>
      <t>月</t>
    </r>
    <r>
      <rPr>
        <sz val="10"/>
        <rFont val="Arial Narrow"/>
        <family val="2"/>
      </rPr>
      <t>/</t>
    </r>
    <r>
      <rPr>
        <sz val="10"/>
        <rFont val="宋体"/>
        <family val="0"/>
      </rPr>
      <t>日）</t>
    </r>
  </si>
  <si>
    <r>
      <rPr>
        <sz val="10"/>
        <rFont val="宋体"/>
        <family val="0"/>
      </rPr>
      <t>金额</t>
    </r>
  </si>
  <si>
    <r>
      <rPr>
        <sz val="10"/>
        <rFont val="宋体"/>
        <family val="0"/>
      </rPr>
      <t>申请贴息资金</t>
    </r>
  </si>
  <si>
    <r>
      <rPr>
        <sz val="10"/>
        <rFont val="宋体"/>
        <family val="0"/>
      </rPr>
      <t>备注</t>
    </r>
  </si>
  <si>
    <r>
      <rPr>
        <sz val="10"/>
        <rFont val="宋体"/>
        <family val="0"/>
      </rPr>
      <t>合计</t>
    </r>
  </si>
  <si>
    <r>
      <t>2014</t>
    </r>
    <r>
      <rPr>
        <sz val="10"/>
        <rFont val="宋体"/>
        <family val="0"/>
      </rPr>
      <t>年</t>
    </r>
  </si>
  <si>
    <r>
      <t>2015</t>
    </r>
    <r>
      <rPr>
        <sz val="10"/>
        <rFont val="宋体"/>
        <family val="0"/>
      </rPr>
      <t>年</t>
    </r>
  </si>
  <si>
    <r>
      <t>2016</t>
    </r>
    <r>
      <rPr>
        <sz val="10"/>
        <rFont val="宋体"/>
        <family val="0"/>
      </rPr>
      <t>年
（预计）</t>
    </r>
  </si>
  <si>
    <r>
      <rPr>
        <sz val="10"/>
        <rFont val="宋体"/>
        <family val="0"/>
      </rPr>
      <t>延边</t>
    </r>
  </si>
  <si>
    <t>吉珲铁路</t>
  </si>
  <si>
    <t>吉林银行贷款</t>
  </si>
  <si>
    <r>
      <t>6%</t>
    </r>
    <r>
      <rPr>
        <sz val="10"/>
        <rFont val="宋体"/>
        <family val="0"/>
      </rPr>
      <t>-</t>
    </r>
    <r>
      <rPr>
        <sz val="10"/>
        <rFont val="Arial Narrow"/>
        <family val="2"/>
      </rPr>
      <t>4.35%</t>
    </r>
  </si>
  <si>
    <r>
      <rPr>
        <sz val="10"/>
        <rFont val="宋体"/>
        <family val="0"/>
      </rPr>
      <t>省财政审核意见：按照</t>
    </r>
    <r>
      <rPr>
        <sz val="10"/>
        <rFont val="Arial Narrow"/>
        <family val="2"/>
      </rPr>
      <t>2011</t>
    </r>
    <r>
      <rPr>
        <sz val="10"/>
        <rFont val="宋体"/>
        <family val="0"/>
      </rPr>
      <t>年省政府</t>
    </r>
    <r>
      <rPr>
        <sz val="10"/>
        <rFont val="Arial Narrow"/>
        <family val="2"/>
      </rPr>
      <t>4</t>
    </r>
    <r>
      <rPr>
        <sz val="10"/>
        <rFont val="宋体"/>
        <family val="0"/>
      </rPr>
      <t>号文件确定事项，省交投代延边、吉林融入资金部分，应由省交投在省级铁路建设资金中安排解决，不能申请本项资金。</t>
    </r>
  </si>
  <si>
    <t>国开行贷款</t>
  </si>
  <si>
    <t>吉林</t>
  </si>
  <si>
    <r>
      <rPr>
        <sz val="10"/>
        <rFont val="宋体"/>
        <family val="0"/>
      </rPr>
      <t>吉林</t>
    </r>
  </si>
  <si>
    <t>中行贷款</t>
  </si>
  <si>
    <r>
      <rPr>
        <sz val="10"/>
        <rFont val="宋体"/>
        <family val="0"/>
      </rPr>
      <t>融资性质：省交投集团代融、国家专项建设债券（基金）资金、省政府债券转贷资金、项目实施主体市场化运作；</t>
    </r>
  </si>
  <si>
    <r>
      <rPr>
        <sz val="10"/>
        <rFont val="宋体"/>
        <family val="0"/>
      </rPr>
      <t>申请贴息利息：按吉财建【</t>
    </r>
    <r>
      <rPr>
        <sz val="10"/>
        <rFont val="Arial Narrow"/>
        <family val="2"/>
      </rPr>
      <t>2016</t>
    </r>
    <r>
      <rPr>
        <sz val="10"/>
        <rFont val="宋体"/>
        <family val="0"/>
      </rPr>
      <t>】</t>
    </r>
    <r>
      <rPr>
        <sz val="10"/>
        <rFont val="Arial Narrow"/>
        <family val="2"/>
      </rPr>
      <t>27</t>
    </r>
    <r>
      <rPr>
        <sz val="10"/>
        <rFont val="宋体"/>
        <family val="0"/>
      </rPr>
      <t>号确定利率填写；</t>
    </r>
  </si>
  <si>
    <r>
      <rPr>
        <sz val="10"/>
        <rFont val="宋体"/>
        <family val="0"/>
      </rPr>
      <t>申请贴息资金：按申请贴息率计算。</t>
    </r>
  </si>
  <si>
    <t>2015年吉林省铁路建设市县征地拆迁融资贴息资金预算表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</si>
</sst>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yyyy&quot;年&quot;m&quot;月&quot;d&quot;日&quot;;@"/>
    <numFmt numFmtId="183" formatCode="#,##0.00_ "/>
    <numFmt numFmtId="184" formatCode="0;_䀀"/>
    <numFmt numFmtId="185" formatCode="[$-F800]dddd\,\ mmmm\ dd\,\ yyyy"/>
    <numFmt numFmtId="186" formatCode="[$-804]yyyy&quot;年&quot;m&quot;月&quot;d&quot;日&quot;dddd"/>
    <numFmt numFmtId="187" formatCode="0.0%"/>
  </numFmts>
  <fonts count="46">
    <font>
      <sz val="12"/>
      <name val="宋体"/>
      <family val="0"/>
    </font>
    <font>
      <sz val="20"/>
      <name val="方正小标宋简体"/>
      <family val="4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Arial Narrow"/>
      <family val="2"/>
    </font>
    <font>
      <sz val="18"/>
      <name val="方正小标宋简体"/>
      <family val="4"/>
    </font>
    <font>
      <b/>
      <sz val="14"/>
      <name val="Arial Narrow"/>
      <family val="2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name val="Calibri"/>
      <family val="0"/>
    </font>
    <font>
      <b/>
      <sz val="1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10" fontId="0" fillId="0" borderId="10" xfId="0" applyNumberFormat="1" applyBorder="1" applyAlignment="1">
      <alignment vertical="center"/>
    </xf>
    <xf numFmtId="14" fontId="0" fillId="0" borderId="10" xfId="0" applyNumberFormat="1" applyBorder="1" applyAlignment="1">
      <alignment vertical="center"/>
    </xf>
    <xf numFmtId="176" fontId="0" fillId="0" borderId="10" xfId="49" applyNumberFormat="1" applyFont="1" applyBorder="1" applyAlignment="1">
      <alignment vertical="center"/>
    </xf>
    <xf numFmtId="177" fontId="0" fillId="0" borderId="10" xfId="49" applyNumberFormat="1" applyFont="1" applyBorder="1" applyAlignment="1">
      <alignment vertical="center"/>
    </xf>
    <xf numFmtId="43" fontId="0" fillId="0" borderId="10" xfId="0" applyNumberForma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33" borderId="10" xfId="49" applyNumberFormat="1" applyFont="1" applyFill="1" applyBorder="1" applyAlignment="1">
      <alignment vertical="center"/>
    </xf>
    <xf numFmtId="177" fontId="3" fillId="33" borderId="10" xfId="49" applyNumberFormat="1" applyFont="1" applyFill="1" applyBorder="1" applyAlignment="1">
      <alignment vertical="center"/>
    </xf>
    <xf numFmtId="176" fontId="3" fillId="33" borderId="10" xfId="0" applyNumberFormat="1" applyFont="1" applyFill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3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177" fontId="0" fillId="0" borderId="10" xfId="49" applyNumberFormat="1" applyFont="1" applyBorder="1" applyAlignment="1">
      <alignment vertical="center" wrapText="1"/>
    </xf>
    <xf numFmtId="177" fontId="0" fillId="0" borderId="10" xfId="49" applyNumberFormat="1" applyFont="1" applyBorder="1" applyAlignment="1">
      <alignment vertical="center" wrapText="1"/>
    </xf>
    <xf numFmtId="177" fontId="3" fillId="33" borderId="10" xfId="49" applyNumberFormat="1" applyFont="1" applyFill="1" applyBorder="1" applyAlignment="1">
      <alignment vertical="center" wrapText="1"/>
    </xf>
    <xf numFmtId="177" fontId="0" fillId="0" borderId="10" xfId="49" applyNumberFormat="1" applyFont="1" applyFill="1" applyBorder="1" applyAlignment="1">
      <alignment vertical="center"/>
    </xf>
    <xf numFmtId="177" fontId="0" fillId="34" borderId="10" xfId="49" applyNumberFormat="1" applyFont="1" applyFill="1" applyBorder="1" applyAlignment="1">
      <alignment vertical="center"/>
    </xf>
    <xf numFmtId="14" fontId="0" fillId="34" borderId="10" xfId="0" applyNumberFormat="1" applyFill="1" applyBorder="1" applyAlignment="1">
      <alignment vertical="center"/>
    </xf>
    <xf numFmtId="177" fontId="0" fillId="34" borderId="10" xfId="49" applyNumberFormat="1" applyFont="1" applyFill="1" applyBorder="1" applyAlignment="1">
      <alignment vertical="center"/>
    </xf>
    <xf numFmtId="176" fontId="0" fillId="34" borderId="10" xfId="49" applyNumberFormat="1" applyFont="1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10" fontId="0" fillId="34" borderId="10" xfId="0" applyNumberFormat="1" applyFill="1" applyBorder="1" applyAlignment="1">
      <alignment vertical="center"/>
    </xf>
    <xf numFmtId="177" fontId="0" fillId="34" borderId="10" xfId="49" applyNumberFormat="1" applyFont="1" applyFill="1" applyBorder="1" applyAlignment="1">
      <alignment vertical="center" wrapText="1"/>
    </xf>
    <xf numFmtId="43" fontId="0" fillId="34" borderId="10" xfId="0" applyNumberFormat="1" applyFill="1" applyBorder="1" applyAlignment="1">
      <alignment vertical="center"/>
    </xf>
    <xf numFmtId="0" fontId="0" fillId="34" borderId="0" xfId="0" applyFill="1" applyAlignment="1">
      <alignment vertical="center"/>
    </xf>
    <xf numFmtId="176" fontId="44" fillId="35" borderId="10" xfId="0" applyNumberFormat="1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center" vertical="center" wrapText="1"/>
    </xf>
    <xf numFmtId="43" fontId="44" fillId="35" borderId="10" xfId="0" applyNumberFormat="1" applyFont="1" applyFill="1" applyBorder="1" applyAlignment="1">
      <alignment horizontal="center" vertical="center"/>
    </xf>
    <xf numFmtId="0" fontId="44" fillId="35" borderId="0" xfId="0" applyFont="1" applyFill="1" applyAlignment="1">
      <alignment horizontal="center" vertical="center"/>
    </xf>
    <xf numFmtId="0" fontId="0" fillId="0" borderId="10" xfId="0" applyBorder="1" applyAlignment="1">
      <alignment vertical="center"/>
    </xf>
    <xf numFmtId="43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49" applyNumberFormat="1" applyFont="1" applyBorder="1" applyAlignment="1">
      <alignment horizontal="center" vertical="center"/>
    </xf>
    <xf numFmtId="43" fontId="4" fillId="0" borderId="10" xfId="49" applyFont="1" applyBorder="1" applyAlignment="1">
      <alignment horizontal="center" vertical="center"/>
    </xf>
    <xf numFmtId="43" fontId="4" fillId="0" borderId="10" xfId="49" applyNumberFormat="1" applyFont="1" applyBorder="1" applyAlignment="1">
      <alignment horizontal="center" vertical="center" wrapText="1"/>
    </xf>
    <xf numFmtId="10" fontId="5" fillId="0" borderId="10" xfId="49" applyNumberFormat="1" applyFont="1" applyBorder="1" applyAlignment="1">
      <alignment horizontal="center" vertical="center"/>
    </xf>
    <xf numFmtId="185" fontId="5" fillId="36" borderId="10" xfId="49" applyNumberFormat="1" applyFont="1" applyFill="1" applyBorder="1" applyAlignment="1">
      <alignment horizontal="center" vertical="center"/>
    </xf>
    <xf numFmtId="43" fontId="5" fillId="36" borderId="10" xfId="49" applyNumberFormat="1" applyFont="1" applyFill="1" applyBorder="1" applyAlignment="1">
      <alignment vertical="center"/>
    </xf>
    <xf numFmtId="43" fontId="5" fillId="36" borderId="10" xfId="49" applyFont="1" applyFill="1" applyBorder="1" applyAlignment="1">
      <alignment horizontal="center" vertical="center"/>
    </xf>
    <xf numFmtId="43" fontId="5" fillId="0" borderId="10" xfId="49" applyFont="1" applyBorder="1" applyAlignment="1">
      <alignment horizontal="center" vertical="center"/>
    </xf>
    <xf numFmtId="43" fontId="5" fillId="0" borderId="0" xfId="49" applyFont="1" applyAlignment="1">
      <alignment vertical="center"/>
    </xf>
    <xf numFmtId="176" fontId="45" fillId="0" borderId="1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5" fillId="36" borderId="10" xfId="49" applyNumberFormat="1" applyFont="1" applyFill="1" applyBorder="1" applyAlignment="1">
      <alignment horizontal="center" vertical="center"/>
    </xf>
    <xf numFmtId="0" fontId="5" fillId="0" borderId="10" xfId="49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87" fontId="5" fillId="0" borderId="10" xfId="49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43" fontId="4" fillId="0" borderId="10" xfId="49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0" xfId="49" applyNumberFormat="1" applyFont="1" applyAlignment="1">
      <alignment horizontal="center" vertical="center"/>
    </xf>
    <xf numFmtId="43" fontId="5" fillId="0" borderId="0" xfId="49" applyFont="1" applyAlignment="1">
      <alignment horizontal="center" vertical="center"/>
    </xf>
    <xf numFmtId="185" fontId="5" fillId="0" borderId="0" xfId="49" applyNumberFormat="1" applyFont="1" applyAlignment="1">
      <alignment horizontal="center" vertical="center"/>
    </xf>
    <xf numFmtId="43" fontId="5" fillId="0" borderId="10" xfId="49" applyFont="1" applyBorder="1" applyAlignment="1">
      <alignment horizontal="center" vertical="center" wrapText="1"/>
    </xf>
    <xf numFmtId="43" fontId="5" fillId="36" borderId="10" xfId="49" applyFont="1" applyFill="1" applyBorder="1" applyAlignment="1">
      <alignment vertical="center"/>
    </xf>
    <xf numFmtId="43" fontId="5" fillId="0" borderId="10" xfId="49" applyFont="1" applyBorder="1" applyAlignment="1">
      <alignment vertical="center"/>
    </xf>
    <xf numFmtId="185" fontId="5" fillId="0" borderId="10" xfId="49" applyNumberFormat="1" applyFont="1" applyBorder="1" applyAlignment="1">
      <alignment horizontal="center" vertical="center"/>
    </xf>
    <xf numFmtId="43" fontId="5" fillId="0" borderId="0" xfId="49" applyFont="1" applyAlignment="1">
      <alignment horizontal="left" vertical="center"/>
    </xf>
    <xf numFmtId="185" fontId="5" fillId="0" borderId="0" xfId="49" applyNumberFormat="1" applyFont="1" applyAlignment="1">
      <alignment horizontal="left" vertical="center"/>
    </xf>
    <xf numFmtId="185" fontId="5" fillId="0" borderId="0" xfId="49" applyNumberFormat="1" applyFont="1" applyAlignment="1">
      <alignment vertical="center"/>
    </xf>
    <xf numFmtId="0" fontId="45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44" fillId="35" borderId="13" xfId="0" applyFont="1" applyFill="1" applyBorder="1" applyAlignment="1">
      <alignment horizontal="center" vertical="center"/>
    </xf>
    <xf numFmtId="0" fontId="44" fillId="35" borderId="14" xfId="0" applyFont="1" applyFill="1" applyBorder="1" applyAlignment="1">
      <alignment horizontal="center" vertical="center"/>
    </xf>
    <xf numFmtId="0" fontId="44" fillId="35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49" applyNumberFormat="1" applyFont="1" applyAlignment="1">
      <alignment horizontal="center" vertical="center"/>
    </xf>
    <xf numFmtId="43" fontId="7" fillId="0" borderId="0" xfId="49" applyFont="1" applyAlignment="1">
      <alignment horizontal="center" vertical="center"/>
    </xf>
    <xf numFmtId="0" fontId="5" fillId="0" borderId="12" xfId="49" applyNumberFormat="1" applyFont="1" applyBorder="1" applyAlignment="1">
      <alignment horizontal="center" vertical="center"/>
    </xf>
    <xf numFmtId="43" fontId="5" fillId="0" borderId="12" xfId="49" applyFont="1" applyBorder="1" applyAlignment="1">
      <alignment horizontal="right" vertical="center"/>
    </xf>
    <xf numFmtId="0" fontId="5" fillId="0" borderId="16" xfId="49" applyNumberFormat="1" applyFont="1" applyBorder="1" applyAlignment="1">
      <alignment horizontal="center" vertical="center"/>
    </xf>
    <xf numFmtId="0" fontId="5" fillId="0" borderId="11" xfId="49" applyNumberFormat="1" applyFont="1" applyBorder="1" applyAlignment="1">
      <alignment horizontal="center" vertical="center"/>
    </xf>
    <xf numFmtId="43" fontId="5" fillId="0" borderId="16" xfId="49" applyFont="1" applyBorder="1" applyAlignment="1">
      <alignment horizontal="center" vertical="center"/>
    </xf>
    <xf numFmtId="43" fontId="5" fillId="0" borderId="11" xfId="49" applyFont="1" applyBorder="1" applyAlignment="1">
      <alignment horizontal="center" vertical="center"/>
    </xf>
    <xf numFmtId="43" fontId="5" fillId="0" borderId="16" xfId="49" applyNumberFormat="1" applyFont="1" applyBorder="1" applyAlignment="1">
      <alignment horizontal="center" vertical="center" wrapText="1"/>
    </xf>
    <xf numFmtId="43" fontId="5" fillId="0" borderId="11" xfId="49" applyNumberFormat="1" applyFont="1" applyBorder="1" applyAlignment="1">
      <alignment horizontal="center" vertical="center" wrapText="1"/>
    </xf>
    <xf numFmtId="185" fontId="5" fillId="0" borderId="16" xfId="49" applyNumberFormat="1" applyFont="1" applyBorder="1" applyAlignment="1">
      <alignment horizontal="center" vertical="center" wrapText="1"/>
    </xf>
    <xf numFmtId="185" fontId="5" fillId="0" borderId="11" xfId="49" applyNumberFormat="1" applyFont="1" applyBorder="1" applyAlignment="1">
      <alignment horizontal="center" vertical="center"/>
    </xf>
    <xf numFmtId="43" fontId="5" fillId="0" borderId="13" xfId="49" applyFont="1" applyBorder="1" applyAlignment="1">
      <alignment horizontal="center" vertical="center"/>
    </xf>
    <xf numFmtId="43" fontId="5" fillId="0" borderId="14" xfId="49" applyFont="1" applyBorder="1" applyAlignment="1">
      <alignment horizontal="center" vertical="center"/>
    </xf>
    <xf numFmtId="43" fontId="5" fillId="0" borderId="15" xfId="49" applyFont="1" applyBorder="1" applyAlignment="1">
      <alignment horizontal="center" vertical="center"/>
    </xf>
    <xf numFmtId="43" fontId="5" fillId="0" borderId="17" xfId="49" applyNumberFormat="1" applyFont="1" applyBorder="1" applyAlignment="1">
      <alignment horizontal="center" vertical="center" wrapText="1"/>
    </xf>
    <xf numFmtId="43" fontId="5" fillId="0" borderId="18" xfId="49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view="pageBreakPreview" zoomScaleSheetLayoutView="100" zoomScalePageLayoutView="0" workbookViewId="0" topLeftCell="A1">
      <selection activeCell="G7" sqref="G7"/>
    </sheetView>
  </sheetViews>
  <sheetFormatPr defaultColWidth="9.00390625" defaultRowHeight="14.25"/>
  <cols>
    <col min="1" max="1" width="13.125" style="0" bestFit="1" customWidth="1"/>
    <col min="2" max="2" width="12.375" style="0" bestFit="1" customWidth="1"/>
    <col min="3" max="3" width="8.00390625" style="0" bestFit="1" customWidth="1"/>
    <col min="4" max="4" width="10.25390625" style="0" bestFit="1" customWidth="1"/>
    <col min="5" max="5" width="10.50390625" style="0" bestFit="1" customWidth="1"/>
    <col min="6" max="6" width="8.50390625" style="0" bestFit="1" customWidth="1"/>
    <col min="7" max="8" width="7.875" style="0" customWidth="1"/>
  </cols>
  <sheetData>
    <row r="1" spans="1:8" ht="14.25">
      <c r="A1" s="78" t="s">
        <v>75</v>
      </c>
      <c r="B1" s="78"/>
      <c r="C1" s="78"/>
      <c r="D1" s="78"/>
      <c r="E1" s="78"/>
      <c r="F1" s="78"/>
      <c r="G1" s="78"/>
      <c r="H1" s="78"/>
    </row>
    <row r="2" spans="1:8" ht="36" customHeight="1">
      <c r="A2" s="79" t="s">
        <v>106</v>
      </c>
      <c r="B2" s="79"/>
      <c r="C2" s="79"/>
      <c r="D2" s="79"/>
      <c r="E2" s="79"/>
      <c r="F2" s="79"/>
      <c r="G2" s="79"/>
      <c r="H2" s="79"/>
    </row>
    <row r="3" spans="1:8" s="42" customFormat="1" ht="19.5" customHeight="1">
      <c r="A3" s="64"/>
      <c r="B3" s="64"/>
      <c r="H3" s="59" t="s">
        <v>3</v>
      </c>
    </row>
    <row r="4" spans="1:8" s="44" customFormat="1" ht="21.75" customHeight="1">
      <c r="A4" s="77" t="s">
        <v>6</v>
      </c>
      <c r="B4" s="77" t="s">
        <v>7</v>
      </c>
      <c r="C4" s="77" t="s">
        <v>73</v>
      </c>
      <c r="D4" s="76" t="s">
        <v>72</v>
      </c>
      <c r="E4" s="77" t="s">
        <v>71</v>
      </c>
      <c r="F4" s="77" t="s">
        <v>70</v>
      </c>
      <c r="G4" s="77"/>
      <c r="H4" s="77"/>
    </row>
    <row r="5" spans="1:8" s="44" customFormat="1" ht="21.75" customHeight="1">
      <c r="A5" s="77"/>
      <c r="B5" s="77"/>
      <c r="C5" s="77"/>
      <c r="D5" s="77"/>
      <c r="E5" s="77"/>
      <c r="F5" s="43" t="s">
        <v>13</v>
      </c>
      <c r="G5" s="43" t="s">
        <v>15</v>
      </c>
      <c r="H5" s="43" t="s">
        <v>16</v>
      </c>
    </row>
    <row r="6" spans="1:8" s="55" customFormat="1" ht="47.25" customHeight="1">
      <c r="A6" s="62" t="s">
        <v>69</v>
      </c>
      <c r="B6" s="1"/>
      <c r="C6" s="61"/>
      <c r="D6" s="61"/>
      <c r="E6" s="54">
        <f>SUM(E7:E14)</f>
        <v>170000</v>
      </c>
      <c r="F6" s="75">
        <f>SUM(F7:F14)</f>
        <v>2040</v>
      </c>
      <c r="G6" s="75">
        <f>SUM(G7:G14)</f>
        <v>1920</v>
      </c>
      <c r="H6" s="75">
        <f>SUM(H7:H14)</f>
        <v>120</v>
      </c>
    </row>
    <row r="7" spans="1:8" s="53" customFormat="1" ht="39.75" customHeight="1">
      <c r="A7" s="46" t="s">
        <v>60</v>
      </c>
      <c r="B7" s="47" t="s">
        <v>74</v>
      </c>
      <c r="C7" s="60">
        <v>0.012</v>
      </c>
      <c r="D7" s="56">
        <v>42258</v>
      </c>
      <c r="E7" s="50">
        <v>10000</v>
      </c>
      <c r="F7" s="57">
        <f aca="true" t="shared" si="0" ref="F7:F14">SUM(G7:H7)</f>
        <v>120</v>
      </c>
      <c r="G7" s="58">
        <v>120</v>
      </c>
      <c r="H7" s="58"/>
    </row>
    <row r="8" spans="1:8" s="53" customFormat="1" ht="39.75" customHeight="1">
      <c r="A8" s="46" t="s">
        <v>60</v>
      </c>
      <c r="B8" s="47" t="s">
        <v>74</v>
      </c>
      <c r="C8" s="60">
        <v>0.012</v>
      </c>
      <c r="D8" s="56">
        <v>42264</v>
      </c>
      <c r="E8" s="50">
        <v>50000</v>
      </c>
      <c r="F8" s="57">
        <f t="shared" si="0"/>
        <v>600</v>
      </c>
      <c r="G8" s="58">
        <v>600</v>
      </c>
      <c r="H8" s="58"/>
    </row>
    <row r="9" spans="1:8" s="53" customFormat="1" ht="39.75" customHeight="1">
      <c r="A9" s="46" t="s">
        <v>60</v>
      </c>
      <c r="B9" s="47" t="s">
        <v>74</v>
      </c>
      <c r="C9" s="60">
        <v>0.012</v>
      </c>
      <c r="D9" s="56">
        <v>42265</v>
      </c>
      <c r="E9" s="50">
        <v>16400</v>
      </c>
      <c r="F9" s="57">
        <f t="shared" si="0"/>
        <v>196.8</v>
      </c>
      <c r="G9" s="58">
        <v>196.8</v>
      </c>
      <c r="H9" s="58"/>
    </row>
    <row r="10" spans="1:8" s="53" customFormat="1" ht="39.75" customHeight="1">
      <c r="A10" s="46" t="s">
        <v>60</v>
      </c>
      <c r="B10" s="47" t="s">
        <v>74</v>
      </c>
      <c r="C10" s="60">
        <v>0.012</v>
      </c>
      <c r="D10" s="56">
        <v>42269</v>
      </c>
      <c r="E10" s="50">
        <v>10000</v>
      </c>
      <c r="F10" s="57">
        <f t="shared" si="0"/>
        <v>120</v>
      </c>
      <c r="G10" s="58">
        <v>120</v>
      </c>
      <c r="H10" s="58"/>
    </row>
    <row r="11" spans="1:8" s="53" customFormat="1" ht="39.75" customHeight="1">
      <c r="A11" s="46" t="s">
        <v>60</v>
      </c>
      <c r="B11" s="47" t="s">
        <v>74</v>
      </c>
      <c r="C11" s="60">
        <v>0.012</v>
      </c>
      <c r="D11" s="56">
        <v>42269</v>
      </c>
      <c r="E11" s="50">
        <v>53600</v>
      </c>
      <c r="F11" s="57">
        <f t="shared" si="0"/>
        <v>643.2</v>
      </c>
      <c r="G11" s="58">
        <v>643.2</v>
      </c>
      <c r="H11" s="58"/>
    </row>
    <row r="12" spans="1:8" s="53" customFormat="1" ht="39.75" customHeight="1">
      <c r="A12" s="46" t="s">
        <v>60</v>
      </c>
      <c r="B12" s="47" t="s">
        <v>74</v>
      </c>
      <c r="C12" s="60">
        <v>0.012</v>
      </c>
      <c r="D12" s="56">
        <v>42320</v>
      </c>
      <c r="E12" s="50">
        <v>10000</v>
      </c>
      <c r="F12" s="57">
        <f t="shared" si="0"/>
        <v>120</v>
      </c>
      <c r="G12" s="58">
        <v>120</v>
      </c>
      <c r="H12" s="58"/>
    </row>
    <row r="13" spans="1:8" s="53" customFormat="1" ht="39.75" customHeight="1">
      <c r="A13" s="46" t="s">
        <v>60</v>
      </c>
      <c r="B13" s="47" t="s">
        <v>74</v>
      </c>
      <c r="C13" s="60">
        <v>0.012</v>
      </c>
      <c r="D13" s="56">
        <v>42356</v>
      </c>
      <c r="E13" s="50">
        <v>10000</v>
      </c>
      <c r="F13" s="57">
        <f t="shared" si="0"/>
        <v>120</v>
      </c>
      <c r="G13" s="58">
        <v>120</v>
      </c>
      <c r="H13" s="58"/>
    </row>
    <row r="14" spans="1:8" s="53" customFormat="1" ht="39.75" customHeight="1">
      <c r="A14" s="46" t="s">
        <v>60</v>
      </c>
      <c r="B14" s="47" t="s">
        <v>74</v>
      </c>
      <c r="C14" s="60">
        <v>0.012</v>
      </c>
      <c r="D14" s="56">
        <v>42374</v>
      </c>
      <c r="E14" s="50">
        <v>10000</v>
      </c>
      <c r="F14" s="57">
        <f t="shared" si="0"/>
        <v>120</v>
      </c>
      <c r="G14" s="58"/>
      <c r="H14" s="58">
        <v>120</v>
      </c>
    </row>
  </sheetData>
  <sheetProtection/>
  <mergeCells count="8">
    <mergeCell ref="D4:D5"/>
    <mergeCell ref="E4:E5"/>
    <mergeCell ref="F4:H4"/>
    <mergeCell ref="A1:H1"/>
    <mergeCell ref="A2:H2"/>
    <mergeCell ref="A4:A5"/>
    <mergeCell ref="B4:B5"/>
    <mergeCell ref="C4:C5"/>
  </mergeCells>
  <printOptions horizontalCentered="1"/>
  <pageMargins left="0.3937007874015748" right="0.3937007874015748" top="1.7716535433070868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  <ignoredErrors>
    <ignoredError sqref="F7:F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view="pageBreakPreview" zoomScaleSheetLayoutView="100" zoomScalePageLayoutView="0" workbookViewId="0" topLeftCell="A1">
      <selection activeCell="A19" sqref="A19:G19"/>
    </sheetView>
  </sheetViews>
  <sheetFormatPr defaultColWidth="9.00390625" defaultRowHeight="14.25"/>
  <cols>
    <col min="1" max="1" width="5.50390625" style="0" bestFit="1" customWidth="1"/>
    <col min="2" max="2" width="16.375" style="0" customWidth="1"/>
    <col min="3" max="3" width="13.50390625" style="0" customWidth="1"/>
    <col min="4" max="4" width="12.375" style="0" customWidth="1"/>
    <col min="5" max="5" width="9.50390625" style="0" bestFit="1" customWidth="1"/>
    <col min="6" max="7" width="13.375" style="0" customWidth="1"/>
    <col min="8" max="8" width="11.125" style="0" customWidth="1"/>
    <col min="9" max="9" width="10.75390625" style="0" customWidth="1"/>
    <col min="10" max="10" width="9.25390625" style="0" customWidth="1"/>
    <col min="11" max="11" width="11.50390625" style="0" customWidth="1"/>
    <col min="12" max="12" width="10.125" style="0" customWidth="1"/>
    <col min="13" max="13" width="23.75390625" style="3" customWidth="1"/>
    <col min="14" max="14" width="16.125" style="0" bestFit="1" customWidth="1"/>
    <col min="15" max="15" width="15.00390625" style="0" customWidth="1"/>
  </cols>
  <sheetData>
    <row r="1" spans="1:14" ht="14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27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28.5" customHeight="1">
      <c r="A3" s="78" t="s">
        <v>2</v>
      </c>
      <c r="B3" s="78"/>
      <c r="C3" s="78"/>
      <c r="D3" s="78"/>
      <c r="L3" s="90" t="s">
        <v>3</v>
      </c>
      <c r="M3" s="90"/>
      <c r="N3" s="90"/>
    </row>
    <row r="4" spans="1:14" s="2" customFormat="1" ht="27" customHeight="1">
      <c r="A4" s="88" t="s">
        <v>4</v>
      </c>
      <c r="B4" s="88" t="s">
        <v>5</v>
      </c>
      <c r="C4" s="88" t="s">
        <v>6</v>
      </c>
      <c r="D4" s="88" t="s">
        <v>7</v>
      </c>
      <c r="E4" s="88" t="s">
        <v>8</v>
      </c>
      <c r="F4" s="88" t="s">
        <v>9</v>
      </c>
      <c r="G4" s="91" t="s">
        <v>10</v>
      </c>
      <c r="H4" s="88" t="s">
        <v>11</v>
      </c>
      <c r="I4" s="88" t="s">
        <v>12</v>
      </c>
      <c r="J4" s="88"/>
      <c r="K4" s="88"/>
      <c r="L4" s="88"/>
      <c r="M4" s="86" t="s">
        <v>22</v>
      </c>
      <c r="N4" s="88" t="s">
        <v>21</v>
      </c>
    </row>
    <row r="5" spans="1:14" s="2" customFormat="1" ht="27" customHeight="1">
      <c r="A5" s="88"/>
      <c r="B5" s="88"/>
      <c r="C5" s="88"/>
      <c r="D5" s="88"/>
      <c r="E5" s="88"/>
      <c r="F5" s="88"/>
      <c r="G5" s="88"/>
      <c r="H5" s="88"/>
      <c r="I5" s="1" t="s">
        <v>13</v>
      </c>
      <c r="J5" s="1" t="s">
        <v>14</v>
      </c>
      <c r="K5" s="1" t="s">
        <v>15</v>
      </c>
      <c r="L5" s="1" t="s">
        <v>16</v>
      </c>
      <c r="M5" s="87"/>
      <c r="N5" s="88"/>
    </row>
    <row r="6" spans="1:14" s="39" customFormat="1" ht="27" customHeight="1">
      <c r="A6" s="83" t="s">
        <v>59</v>
      </c>
      <c r="B6" s="84"/>
      <c r="C6" s="84"/>
      <c r="D6" s="84"/>
      <c r="E6" s="84"/>
      <c r="F6" s="84"/>
      <c r="G6" s="85"/>
      <c r="H6" s="36">
        <f>H7+H10+H13+H15+H19+H25+H27+H31</f>
        <v>311700</v>
      </c>
      <c r="I6" s="36">
        <f>I7+I10+I13+I15+I19+I25+I27+I31</f>
        <v>10872</v>
      </c>
      <c r="J6" s="36">
        <f>J7+J10+J13+J15+J19+J25+J27+J31</f>
        <v>0</v>
      </c>
      <c r="K6" s="36">
        <f>K7+K10+K13+K15+K19+K25+K27+K31</f>
        <v>6170.2</v>
      </c>
      <c r="L6" s="36">
        <f>L7+L10+L13+L15+L19+L25+L27+L31</f>
        <v>3819.5</v>
      </c>
      <c r="M6" s="37"/>
      <c r="N6" s="38">
        <f>N7+N10+N13+N15+N19+N25+N27+N31</f>
        <v>10872</v>
      </c>
    </row>
    <row r="7" spans="1:15" s="11" customFormat="1" ht="24.75" customHeight="1">
      <c r="A7" s="80" t="s">
        <v>26</v>
      </c>
      <c r="B7" s="81"/>
      <c r="C7" s="81"/>
      <c r="D7" s="81"/>
      <c r="E7" s="81"/>
      <c r="F7" s="81"/>
      <c r="G7" s="82"/>
      <c r="H7" s="16">
        <f>H8+H9</f>
        <v>37000</v>
      </c>
      <c r="I7" s="17">
        <f>I8+I9</f>
        <v>1263</v>
      </c>
      <c r="J7" s="18"/>
      <c r="K7" s="17">
        <f>K8+K9</f>
        <v>358</v>
      </c>
      <c r="L7" s="17">
        <f>L8+L9</f>
        <v>905</v>
      </c>
      <c r="M7" s="20"/>
      <c r="N7" s="19">
        <f>N8+N9</f>
        <v>1263</v>
      </c>
      <c r="O7" s="41">
        <f>I7-N7</f>
        <v>0</v>
      </c>
    </row>
    <row r="8" spans="1:15" ht="36" customHeight="1">
      <c r="A8" s="1">
        <v>1</v>
      </c>
      <c r="B8" s="4" t="s">
        <v>18</v>
      </c>
      <c r="C8" s="5" t="s">
        <v>19</v>
      </c>
      <c r="D8" s="5" t="s">
        <v>20</v>
      </c>
      <c r="E8" s="6">
        <v>0.0358</v>
      </c>
      <c r="F8" s="6">
        <v>0.0358</v>
      </c>
      <c r="G8" s="7">
        <v>42248</v>
      </c>
      <c r="H8" s="8">
        <v>10000</v>
      </c>
      <c r="I8" s="9">
        <f>SUM(J8:L8)</f>
        <v>358</v>
      </c>
      <c r="J8" s="9"/>
      <c r="K8" s="24">
        <v>358</v>
      </c>
      <c r="L8" s="24"/>
      <c r="M8" s="21" t="s">
        <v>48</v>
      </c>
      <c r="N8" s="10">
        <f>ROUND(H8*F8,0)</f>
        <v>358</v>
      </c>
      <c r="O8" s="41">
        <f aca="true" t="shared" si="0" ref="O8:O34">I8-N8</f>
        <v>0</v>
      </c>
    </row>
    <row r="9" spans="1:15" ht="36" customHeight="1">
      <c r="A9" s="1">
        <v>2</v>
      </c>
      <c r="B9" s="4" t="s">
        <v>18</v>
      </c>
      <c r="C9" s="5" t="s">
        <v>19</v>
      </c>
      <c r="D9" s="5" t="s">
        <v>20</v>
      </c>
      <c r="E9" s="6">
        <v>0.0335</v>
      </c>
      <c r="F9" s="6">
        <v>0.0335</v>
      </c>
      <c r="G9" s="7">
        <v>42405</v>
      </c>
      <c r="H9" s="8">
        <v>27000</v>
      </c>
      <c r="I9" s="9">
        <f>SUM(J9:L9)</f>
        <v>905</v>
      </c>
      <c r="J9" s="9"/>
      <c r="K9" s="24"/>
      <c r="L9" s="24">
        <v>905</v>
      </c>
      <c r="M9" s="21" t="s">
        <v>48</v>
      </c>
      <c r="N9" s="10">
        <f>ROUND(H9*F9,0)</f>
        <v>905</v>
      </c>
      <c r="O9" s="41">
        <f t="shared" si="0"/>
        <v>0</v>
      </c>
    </row>
    <row r="10" spans="1:15" s="13" customFormat="1" ht="24.75" customHeight="1">
      <c r="A10" s="80" t="s">
        <v>27</v>
      </c>
      <c r="B10" s="81"/>
      <c r="C10" s="81"/>
      <c r="D10" s="81"/>
      <c r="E10" s="81"/>
      <c r="F10" s="81"/>
      <c r="G10" s="82"/>
      <c r="H10" s="14">
        <f>H11+H12</f>
        <v>40000</v>
      </c>
      <c r="I10" s="15">
        <f>I11+I12</f>
        <v>1406</v>
      </c>
      <c r="J10" s="15"/>
      <c r="K10" s="15">
        <f>K11+K12</f>
        <v>1406</v>
      </c>
      <c r="L10" s="15">
        <f>L11+L12</f>
        <v>0</v>
      </c>
      <c r="M10" s="23"/>
      <c r="N10" s="19">
        <f>N11+N12</f>
        <v>1406</v>
      </c>
      <c r="O10" s="41">
        <f t="shared" si="0"/>
        <v>0</v>
      </c>
    </row>
    <row r="11" spans="1:15" ht="36" customHeight="1">
      <c r="A11" s="1">
        <v>1</v>
      </c>
      <c r="B11" s="12" t="s">
        <v>25</v>
      </c>
      <c r="C11" s="5" t="s">
        <v>23</v>
      </c>
      <c r="D11" s="5" t="s">
        <v>24</v>
      </c>
      <c r="E11" s="6">
        <v>0.0358</v>
      </c>
      <c r="F11" s="6">
        <v>0.0358</v>
      </c>
      <c r="G11" s="7">
        <v>42079</v>
      </c>
      <c r="H11" s="8">
        <v>20000</v>
      </c>
      <c r="I11" s="9">
        <f>L11+K11+J11</f>
        <v>716</v>
      </c>
      <c r="J11" s="9"/>
      <c r="K11" s="9">
        <v>716</v>
      </c>
      <c r="L11" s="9"/>
      <c r="M11" s="21"/>
      <c r="N11" s="10">
        <f>ROUND(H11*F11,0)</f>
        <v>716</v>
      </c>
      <c r="O11" s="41">
        <f t="shared" si="0"/>
        <v>0</v>
      </c>
    </row>
    <row r="12" spans="1:15" ht="36" customHeight="1">
      <c r="A12" s="1">
        <v>2</v>
      </c>
      <c r="B12" s="12" t="s">
        <v>25</v>
      </c>
      <c r="C12" s="5" t="s">
        <v>23</v>
      </c>
      <c r="D12" s="5" t="s">
        <v>24</v>
      </c>
      <c r="E12" s="6">
        <v>0.0345</v>
      </c>
      <c r="F12" s="6">
        <v>0.0345</v>
      </c>
      <c r="G12" s="7">
        <v>42247</v>
      </c>
      <c r="H12" s="8">
        <v>20000</v>
      </c>
      <c r="I12" s="9">
        <f>L12+K12+J12</f>
        <v>690</v>
      </c>
      <c r="J12" s="9"/>
      <c r="K12" s="9">
        <v>690</v>
      </c>
      <c r="L12" s="9"/>
      <c r="M12" s="21"/>
      <c r="N12" s="10">
        <f>ROUND(H12*F12,0)</f>
        <v>690</v>
      </c>
      <c r="O12" s="41">
        <f t="shared" si="0"/>
        <v>0</v>
      </c>
    </row>
    <row r="13" spans="1:15" s="13" customFormat="1" ht="24.75" customHeight="1">
      <c r="A13" s="80" t="s">
        <v>28</v>
      </c>
      <c r="B13" s="81"/>
      <c r="C13" s="81"/>
      <c r="D13" s="81"/>
      <c r="E13" s="81"/>
      <c r="F13" s="81"/>
      <c r="G13" s="82"/>
      <c r="H13" s="14">
        <f>H14</f>
        <v>10300</v>
      </c>
      <c r="I13" s="15">
        <f>I14</f>
        <v>369</v>
      </c>
      <c r="J13" s="15"/>
      <c r="K13" s="15">
        <f>K14</f>
        <v>369</v>
      </c>
      <c r="L13" s="15">
        <f>L14</f>
        <v>0</v>
      </c>
      <c r="M13" s="23"/>
      <c r="N13" s="19">
        <f>N14</f>
        <v>369</v>
      </c>
      <c r="O13" s="41">
        <f t="shared" si="0"/>
        <v>0</v>
      </c>
    </row>
    <row r="14" spans="1:15" ht="44.25" customHeight="1">
      <c r="A14" s="1">
        <v>1</v>
      </c>
      <c r="B14" s="12" t="s">
        <v>29</v>
      </c>
      <c r="C14" s="5" t="s">
        <v>30</v>
      </c>
      <c r="D14" s="5" t="s">
        <v>24</v>
      </c>
      <c r="E14" s="6"/>
      <c r="F14" s="6">
        <v>0.0358</v>
      </c>
      <c r="G14" s="7">
        <v>42080</v>
      </c>
      <c r="H14" s="8">
        <v>10300</v>
      </c>
      <c r="I14" s="9">
        <f>L14+K14+J14</f>
        <v>369</v>
      </c>
      <c r="J14" s="9"/>
      <c r="K14" s="40">
        <v>369</v>
      </c>
      <c r="L14" s="40"/>
      <c r="M14" s="22" t="s">
        <v>35</v>
      </c>
      <c r="N14" s="10">
        <f>ROUND(H14*F14,0)</f>
        <v>369</v>
      </c>
      <c r="O14" s="41">
        <f t="shared" si="0"/>
        <v>0</v>
      </c>
    </row>
    <row r="15" spans="1:15" s="13" customFormat="1" ht="24.75" customHeight="1">
      <c r="A15" s="80" t="s">
        <v>34</v>
      </c>
      <c r="B15" s="81"/>
      <c r="C15" s="81"/>
      <c r="D15" s="81"/>
      <c r="E15" s="81"/>
      <c r="F15" s="81"/>
      <c r="G15" s="82"/>
      <c r="H15" s="14">
        <f>H18</f>
        <v>3000</v>
      </c>
      <c r="I15" s="15">
        <f>I18</f>
        <v>106</v>
      </c>
      <c r="J15" s="15"/>
      <c r="K15" s="15">
        <f>K18</f>
        <v>106</v>
      </c>
      <c r="L15" s="15">
        <f>L18</f>
        <v>0</v>
      </c>
      <c r="M15" s="23"/>
      <c r="N15" s="19">
        <f>N17+N18</f>
        <v>106</v>
      </c>
      <c r="O15" s="41">
        <f t="shared" si="0"/>
        <v>0</v>
      </c>
    </row>
    <row r="16" spans="1:15" s="35" customFormat="1" ht="36" customHeight="1">
      <c r="A16" s="29">
        <v>1</v>
      </c>
      <c r="B16" s="30" t="s">
        <v>31</v>
      </c>
      <c r="C16" s="31" t="s">
        <v>32</v>
      </c>
      <c r="D16" s="31" t="s">
        <v>24</v>
      </c>
      <c r="E16" s="32">
        <v>0.0414</v>
      </c>
      <c r="F16" s="32">
        <v>0.0414</v>
      </c>
      <c r="G16" s="26">
        <v>41694</v>
      </c>
      <c r="H16" s="28">
        <v>10000</v>
      </c>
      <c r="I16" s="27">
        <f>SUM(J16:L16)</f>
        <v>828</v>
      </c>
      <c r="J16" s="27"/>
      <c r="K16" s="25">
        <v>414</v>
      </c>
      <c r="L16" s="25">
        <v>414</v>
      </c>
      <c r="M16" s="33" t="s">
        <v>42</v>
      </c>
      <c r="N16" s="34"/>
      <c r="O16" s="41">
        <f t="shared" si="0"/>
        <v>828</v>
      </c>
    </row>
    <row r="17" spans="1:15" s="35" customFormat="1" ht="36" customHeight="1">
      <c r="A17" s="29">
        <v>2</v>
      </c>
      <c r="B17" s="30" t="s">
        <v>31</v>
      </c>
      <c r="C17" s="31" t="s">
        <v>32</v>
      </c>
      <c r="D17" s="31" t="s">
        <v>24</v>
      </c>
      <c r="E17" s="32">
        <v>0.0414</v>
      </c>
      <c r="F17" s="32">
        <v>0.0414</v>
      </c>
      <c r="G17" s="26">
        <v>41904</v>
      </c>
      <c r="H17" s="28">
        <v>10000</v>
      </c>
      <c r="I17" s="27">
        <f>SUM(J17:L17)</f>
        <v>828</v>
      </c>
      <c r="J17" s="27"/>
      <c r="K17" s="27">
        <v>414</v>
      </c>
      <c r="L17" s="27">
        <v>414</v>
      </c>
      <c r="M17" s="33" t="s">
        <v>42</v>
      </c>
      <c r="N17" s="34"/>
      <c r="O17" s="41">
        <f t="shared" si="0"/>
        <v>828</v>
      </c>
    </row>
    <row r="18" spans="1:15" ht="36" customHeight="1">
      <c r="A18" s="1">
        <v>3</v>
      </c>
      <c r="B18" s="12" t="s">
        <v>31</v>
      </c>
      <c r="C18" s="5" t="s">
        <v>32</v>
      </c>
      <c r="D18" s="5" t="s">
        <v>24</v>
      </c>
      <c r="E18" s="6">
        <v>0.0352</v>
      </c>
      <c r="F18" s="6">
        <v>0.0352</v>
      </c>
      <c r="G18" s="7">
        <v>42185</v>
      </c>
      <c r="H18" s="8">
        <v>3000</v>
      </c>
      <c r="I18" s="9">
        <f>SUM(J18:L18)</f>
        <v>106</v>
      </c>
      <c r="J18" s="9"/>
      <c r="K18" s="9">
        <v>106</v>
      </c>
      <c r="L18" s="9"/>
      <c r="M18" s="21" t="s">
        <v>33</v>
      </c>
      <c r="N18" s="10">
        <f>ROUND(H18*F18,0)</f>
        <v>106</v>
      </c>
      <c r="O18" s="41">
        <f t="shared" si="0"/>
        <v>0</v>
      </c>
    </row>
    <row r="19" spans="1:15" s="13" customFormat="1" ht="24.75" customHeight="1">
      <c r="A19" s="80" t="s">
        <v>44</v>
      </c>
      <c r="B19" s="81"/>
      <c r="C19" s="81"/>
      <c r="D19" s="81"/>
      <c r="E19" s="81"/>
      <c r="F19" s="81"/>
      <c r="G19" s="82"/>
      <c r="H19" s="14">
        <f>H21+H22+H23+H24</f>
        <v>90300</v>
      </c>
      <c r="I19" s="15">
        <f>I21+I22+I23+I24</f>
        <v>3141</v>
      </c>
      <c r="J19" s="15"/>
      <c r="K19" s="15">
        <f>K21+K22</f>
        <v>1667</v>
      </c>
      <c r="L19" s="15">
        <f>L21+L22+L23+L24</f>
        <v>1474</v>
      </c>
      <c r="M19" s="23"/>
      <c r="N19" s="19">
        <f>N20+N21+N22+N23+N24</f>
        <v>3141</v>
      </c>
      <c r="O19" s="41">
        <f t="shared" si="0"/>
        <v>0</v>
      </c>
    </row>
    <row r="20" spans="1:15" s="35" customFormat="1" ht="36" customHeight="1">
      <c r="A20" s="29">
        <v>1</v>
      </c>
      <c r="B20" s="30" t="s">
        <v>36</v>
      </c>
      <c r="C20" s="31" t="s">
        <v>37</v>
      </c>
      <c r="D20" s="31" t="s">
        <v>38</v>
      </c>
      <c r="E20" s="32"/>
      <c r="F20" s="32">
        <v>0.0414</v>
      </c>
      <c r="G20" s="26">
        <v>41813</v>
      </c>
      <c r="H20" s="28">
        <v>20000</v>
      </c>
      <c r="I20" s="27">
        <f>SUM(J20:L20)</f>
        <v>1656</v>
      </c>
      <c r="J20" s="27"/>
      <c r="K20" s="25">
        <v>828</v>
      </c>
      <c r="L20" s="25">
        <v>828</v>
      </c>
      <c r="M20" s="33" t="s">
        <v>42</v>
      </c>
      <c r="N20" s="34"/>
      <c r="O20" s="41">
        <f t="shared" si="0"/>
        <v>1656</v>
      </c>
    </row>
    <row r="21" spans="1:15" ht="36" customHeight="1">
      <c r="A21" s="1">
        <v>2</v>
      </c>
      <c r="B21" s="12" t="s">
        <v>36</v>
      </c>
      <c r="C21" s="5" t="s">
        <v>39</v>
      </c>
      <c r="D21" s="5" t="s">
        <v>38</v>
      </c>
      <c r="E21" s="6"/>
      <c r="F21" s="6">
        <v>0.0358</v>
      </c>
      <c r="G21" s="7">
        <v>42079</v>
      </c>
      <c r="H21" s="8">
        <v>27300</v>
      </c>
      <c r="I21" s="9">
        <f>SUM(J21:L21)</f>
        <v>977</v>
      </c>
      <c r="J21" s="9"/>
      <c r="K21" s="9">
        <v>977</v>
      </c>
      <c r="L21" s="9"/>
      <c r="M21" s="21" t="s">
        <v>47</v>
      </c>
      <c r="N21" s="10">
        <f>ROUND(H21*F21,0)</f>
        <v>977</v>
      </c>
      <c r="O21" s="41">
        <f t="shared" si="0"/>
        <v>0</v>
      </c>
    </row>
    <row r="22" spans="1:15" ht="36" customHeight="1">
      <c r="A22" s="1">
        <v>3</v>
      </c>
      <c r="B22" s="12" t="s">
        <v>36</v>
      </c>
      <c r="C22" s="5" t="s">
        <v>40</v>
      </c>
      <c r="D22" s="5" t="s">
        <v>38</v>
      </c>
      <c r="E22" s="6"/>
      <c r="F22" s="6">
        <v>0.0345</v>
      </c>
      <c r="G22" s="7">
        <v>42247</v>
      </c>
      <c r="H22" s="8">
        <v>20000</v>
      </c>
      <c r="I22" s="9">
        <f>SUM(J22:L22)</f>
        <v>690</v>
      </c>
      <c r="J22" s="9"/>
      <c r="K22" s="9">
        <v>690</v>
      </c>
      <c r="L22" s="9"/>
      <c r="M22" s="21"/>
      <c r="N22" s="10">
        <f>ROUND(H22*F22,0)</f>
        <v>690</v>
      </c>
      <c r="O22" s="41">
        <f t="shared" si="0"/>
        <v>0</v>
      </c>
    </row>
    <row r="23" spans="1:15" ht="36" customHeight="1">
      <c r="A23" s="1">
        <v>4</v>
      </c>
      <c r="B23" s="12" t="s">
        <v>36</v>
      </c>
      <c r="C23" s="5" t="s">
        <v>41</v>
      </c>
      <c r="D23" s="5" t="s">
        <v>38</v>
      </c>
      <c r="E23" s="6"/>
      <c r="F23" s="6">
        <v>0.0335</v>
      </c>
      <c r="G23" s="7">
        <v>42405</v>
      </c>
      <c r="H23" s="8">
        <v>10000</v>
      </c>
      <c r="I23" s="9">
        <f>SUM(J23:L23)</f>
        <v>335</v>
      </c>
      <c r="J23" s="9"/>
      <c r="K23" s="9"/>
      <c r="L23" s="9">
        <v>335</v>
      </c>
      <c r="M23" s="21"/>
      <c r="N23" s="10">
        <f>ROUND(H23*F23,0)</f>
        <v>335</v>
      </c>
      <c r="O23" s="41">
        <f t="shared" si="0"/>
        <v>0</v>
      </c>
    </row>
    <row r="24" spans="1:15" ht="36" customHeight="1">
      <c r="A24" s="1">
        <v>5</v>
      </c>
      <c r="B24" s="12" t="s">
        <v>36</v>
      </c>
      <c r="C24" s="5" t="s">
        <v>41</v>
      </c>
      <c r="D24" s="5" t="s">
        <v>38</v>
      </c>
      <c r="E24" s="6"/>
      <c r="F24" s="6">
        <v>0.0345</v>
      </c>
      <c r="G24" s="7">
        <v>42405</v>
      </c>
      <c r="H24" s="8">
        <v>33000</v>
      </c>
      <c r="I24" s="9">
        <f>SUM(J24:L24)</f>
        <v>1139</v>
      </c>
      <c r="J24" s="9"/>
      <c r="K24" s="9"/>
      <c r="L24" s="9">
        <v>1139</v>
      </c>
      <c r="M24" s="21"/>
      <c r="N24" s="10">
        <f>ROUND(H24*F24,0)</f>
        <v>1139</v>
      </c>
      <c r="O24" s="41">
        <f t="shared" si="0"/>
        <v>0</v>
      </c>
    </row>
    <row r="25" spans="1:15" s="13" customFormat="1" ht="24.75" customHeight="1">
      <c r="A25" s="80" t="s">
        <v>45</v>
      </c>
      <c r="B25" s="81"/>
      <c r="C25" s="81"/>
      <c r="D25" s="81"/>
      <c r="E25" s="81"/>
      <c r="F25" s="81"/>
      <c r="G25" s="82"/>
      <c r="H25" s="14">
        <f>H26</f>
        <v>24600</v>
      </c>
      <c r="I25" s="15">
        <f>I26</f>
        <v>881</v>
      </c>
      <c r="J25" s="15"/>
      <c r="K25" s="15"/>
      <c r="L25" s="15">
        <f>L26</f>
        <v>0</v>
      </c>
      <c r="M25" s="23"/>
      <c r="N25" s="19">
        <f>N26</f>
        <v>881</v>
      </c>
      <c r="O25" s="41">
        <f t="shared" si="0"/>
        <v>0</v>
      </c>
    </row>
    <row r="26" spans="1:15" ht="36" customHeight="1">
      <c r="A26" s="1">
        <v>1</v>
      </c>
      <c r="B26" s="12" t="s">
        <v>46</v>
      </c>
      <c r="C26" s="5" t="s">
        <v>40</v>
      </c>
      <c r="D26" s="5" t="s">
        <v>20</v>
      </c>
      <c r="E26" s="6">
        <v>0.0358</v>
      </c>
      <c r="F26" s="6">
        <v>0.0358</v>
      </c>
      <c r="G26" s="7" t="s">
        <v>43</v>
      </c>
      <c r="H26" s="8">
        <v>24600</v>
      </c>
      <c r="I26" s="9">
        <f>J26+K26+L26</f>
        <v>881</v>
      </c>
      <c r="J26" s="9"/>
      <c r="K26" s="9">
        <v>881</v>
      </c>
      <c r="L26" s="9"/>
      <c r="M26" s="21"/>
      <c r="N26" s="10">
        <f>ROUND(H26*F26,0)</f>
        <v>881</v>
      </c>
      <c r="O26" s="41">
        <f t="shared" si="0"/>
        <v>0</v>
      </c>
    </row>
    <row r="27" spans="1:15" s="13" customFormat="1" ht="24.75" customHeight="1">
      <c r="A27" s="80" t="s">
        <v>57</v>
      </c>
      <c r="B27" s="81"/>
      <c r="C27" s="81"/>
      <c r="D27" s="81"/>
      <c r="E27" s="81"/>
      <c r="F27" s="81"/>
      <c r="G27" s="82"/>
      <c r="H27" s="14">
        <f>H28+H29+H30</f>
        <v>46100</v>
      </c>
      <c r="I27" s="15">
        <f>I28+I29+I30</f>
        <v>1621</v>
      </c>
      <c r="J27" s="15"/>
      <c r="K27" s="15">
        <f>K28+K29</f>
        <v>1184.98</v>
      </c>
      <c r="L27" s="15">
        <f>L28+L29+L30</f>
        <v>435.5</v>
      </c>
      <c r="M27" s="23"/>
      <c r="N27" s="19">
        <f>N28+N29+N30</f>
        <v>1621</v>
      </c>
      <c r="O27" s="41">
        <f t="shared" si="0"/>
        <v>0</v>
      </c>
    </row>
    <row r="28" spans="1:15" ht="36" customHeight="1">
      <c r="A28" s="1">
        <v>1</v>
      </c>
      <c r="B28" s="12" t="s">
        <v>49</v>
      </c>
      <c r="C28" s="5" t="s">
        <v>50</v>
      </c>
      <c r="D28" s="5" t="s">
        <v>20</v>
      </c>
      <c r="E28" s="6">
        <v>0.0358</v>
      </c>
      <c r="F28" s="6">
        <v>0.0358</v>
      </c>
      <c r="G28" s="26" t="s">
        <v>43</v>
      </c>
      <c r="H28" s="8">
        <v>20000</v>
      </c>
      <c r="I28" s="9">
        <v>716</v>
      </c>
      <c r="J28" s="9"/>
      <c r="K28" s="9">
        <v>716</v>
      </c>
      <c r="L28" s="9"/>
      <c r="M28" s="21"/>
      <c r="N28" s="10">
        <f>ROUND(H28*F28,0)</f>
        <v>716</v>
      </c>
      <c r="O28" s="41">
        <f t="shared" si="0"/>
        <v>0</v>
      </c>
    </row>
    <row r="29" spans="1:15" ht="36" customHeight="1">
      <c r="A29" s="1">
        <v>2</v>
      </c>
      <c r="B29" s="12" t="s">
        <v>49</v>
      </c>
      <c r="C29" s="5" t="s">
        <v>52</v>
      </c>
      <c r="D29" s="5" t="s">
        <v>20</v>
      </c>
      <c r="E29" s="6">
        <v>0.0358</v>
      </c>
      <c r="F29" s="6">
        <v>0.0358</v>
      </c>
      <c r="G29" s="26" t="s">
        <v>43</v>
      </c>
      <c r="H29" s="8">
        <v>13100</v>
      </c>
      <c r="I29" s="9">
        <v>469</v>
      </c>
      <c r="J29" s="9"/>
      <c r="K29" s="9">
        <v>468.97999999999996</v>
      </c>
      <c r="L29" s="9"/>
      <c r="M29" s="21"/>
      <c r="N29" s="10">
        <f>ROUND(H29*F29,0)</f>
        <v>469</v>
      </c>
      <c r="O29" s="41">
        <f t="shared" si="0"/>
        <v>0</v>
      </c>
    </row>
    <row r="30" spans="1:15" ht="36" customHeight="1">
      <c r="A30" s="1">
        <v>3</v>
      </c>
      <c r="B30" s="12" t="s">
        <v>49</v>
      </c>
      <c r="C30" s="5" t="s">
        <v>50</v>
      </c>
      <c r="D30" s="5" t="s">
        <v>51</v>
      </c>
      <c r="E30" s="6">
        <v>0.0335</v>
      </c>
      <c r="F30" s="6">
        <v>0.0335</v>
      </c>
      <c r="G30" s="26" t="s">
        <v>53</v>
      </c>
      <c r="H30" s="8">
        <v>13000</v>
      </c>
      <c r="I30" s="9">
        <v>436</v>
      </c>
      <c r="J30" s="9"/>
      <c r="K30" s="9"/>
      <c r="L30" s="9">
        <f>H30*F30</f>
        <v>435.5</v>
      </c>
      <c r="M30" s="21" t="s">
        <v>54</v>
      </c>
      <c r="N30" s="10">
        <f>ROUND(H30*F30,0)</f>
        <v>436</v>
      </c>
      <c r="O30" s="41">
        <f t="shared" si="0"/>
        <v>0</v>
      </c>
    </row>
    <row r="31" spans="1:15" s="13" customFormat="1" ht="24.75" customHeight="1">
      <c r="A31" s="80" t="s">
        <v>58</v>
      </c>
      <c r="B31" s="81"/>
      <c r="C31" s="81"/>
      <c r="D31" s="81"/>
      <c r="E31" s="81"/>
      <c r="F31" s="81"/>
      <c r="G31" s="82"/>
      <c r="H31" s="14">
        <f>H32+H33+H34</f>
        <v>60400</v>
      </c>
      <c r="I31" s="15">
        <f>I32+I33+I34</f>
        <v>2085</v>
      </c>
      <c r="J31" s="15"/>
      <c r="K31" s="15">
        <f>K32+K33</f>
        <v>1079.22</v>
      </c>
      <c r="L31" s="15">
        <f>L32+L33+L34</f>
        <v>1005</v>
      </c>
      <c r="M31" s="23"/>
      <c r="N31" s="19">
        <f>N32+N33+N34</f>
        <v>2085</v>
      </c>
      <c r="O31" s="41">
        <f t="shared" si="0"/>
        <v>0</v>
      </c>
    </row>
    <row r="32" spans="1:15" ht="36" customHeight="1">
      <c r="A32" s="1">
        <v>1</v>
      </c>
      <c r="B32" s="12" t="s">
        <v>55</v>
      </c>
      <c r="C32" s="5" t="s">
        <v>40</v>
      </c>
      <c r="D32" s="5" t="s">
        <v>20</v>
      </c>
      <c r="E32" s="6">
        <v>0.0345</v>
      </c>
      <c r="F32" s="6">
        <v>0.0345</v>
      </c>
      <c r="G32" s="7">
        <v>42247</v>
      </c>
      <c r="H32" s="8">
        <v>7000</v>
      </c>
      <c r="I32" s="9">
        <v>242</v>
      </c>
      <c r="J32" s="9"/>
      <c r="K32" s="9">
        <v>241.5</v>
      </c>
      <c r="L32" s="9"/>
      <c r="M32" s="21"/>
      <c r="N32" s="10">
        <f>ROUND(H32*F32,0)</f>
        <v>242</v>
      </c>
      <c r="O32" s="41">
        <f t="shared" si="0"/>
        <v>0</v>
      </c>
    </row>
    <row r="33" spans="1:15" ht="36" customHeight="1">
      <c r="A33" s="1">
        <v>2</v>
      </c>
      <c r="B33" s="12" t="s">
        <v>55</v>
      </c>
      <c r="C33" s="5" t="s">
        <v>40</v>
      </c>
      <c r="D33" s="5" t="s">
        <v>20</v>
      </c>
      <c r="E33" s="6">
        <v>0.0358</v>
      </c>
      <c r="F33" s="6">
        <v>0.0358</v>
      </c>
      <c r="G33" s="7">
        <v>42247</v>
      </c>
      <c r="H33" s="8">
        <v>23400</v>
      </c>
      <c r="I33" s="9">
        <v>838</v>
      </c>
      <c r="J33" s="9"/>
      <c r="K33" s="9">
        <v>837.72</v>
      </c>
      <c r="L33" s="9"/>
      <c r="M33" s="21"/>
      <c r="N33" s="10">
        <f>ROUND(H33*F33,0)</f>
        <v>838</v>
      </c>
      <c r="O33" s="41">
        <f t="shared" si="0"/>
        <v>0</v>
      </c>
    </row>
    <row r="34" spans="1:15" ht="36" customHeight="1">
      <c r="A34" s="1">
        <v>3</v>
      </c>
      <c r="B34" s="12" t="s">
        <v>55</v>
      </c>
      <c r="C34" s="5" t="s">
        <v>40</v>
      </c>
      <c r="D34" s="5" t="s">
        <v>20</v>
      </c>
      <c r="E34" s="6">
        <v>0.0335</v>
      </c>
      <c r="F34" s="6">
        <v>0.0335</v>
      </c>
      <c r="G34" s="7">
        <v>42405</v>
      </c>
      <c r="H34" s="8">
        <v>30000</v>
      </c>
      <c r="I34" s="9">
        <v>1005</v>
      </c>
      <c r="J34" s="9"/>
      <c r="K34" s="9"/>
      <c r="L34" s="9">
        <v>1005</v>
      </c>
      <c r="M34" s="21" t="s">
        <v>56</v>
      </c>
      <c r="N34" s="10">
        <f>ROUND(H34*F34,0)</f>
        <v>1005</v>
      </c>
      <c r="O34" s="41">
        <f t="shared" si="0"/>
        <v>0</v>
      </c>
    </row>
    <row r="35" spans="1:14" ht="73.5" customHeight="1">
      <c r="A35" s="92" t="s">
        <v>17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</row>
  </sheetData>
  <sheetProtection/>
  <mergeCells count="25">
    <mergeCell ref="A35:N35"/>
    <mergeCell ref="A4:A5"/>
    <mergeCell ref="B4:B5"/>
    <mergeCell ref="C4:C5"/>
    <mergeCell ref="D4:D5"/>
    <mergeCell ref="A1:N1"/>
    <mergeCell ref="A2:N2"/>
    <mergeCell ref="A3:D3"/>
    <mergeCell ref="L3:N3"/>
    <mergeCell ref="I4:L4"/>
    <mergeCell ref="A27:G27"/>
    <mergeCell ref="A7:G7"/>
    <mergeCell ref="F4:F5"/>
    <mergeCell ref="G4:G5"/>
    <mergeCell ref="A10:G10"/>
    <mergeCell ref="A25:G25"/>
    <mergeCell ref="A6:G6"/>
    <mergeCell ref="M4:M5"/>
    <mergeCell ref="A15:G15"/>
    <mergeCell ref="N4:N5"/>
    <mergeCell ref="A31:G31"/>
    <mergeCell ref="A19:G19"/>
    <mergeCell ref="A13:G13"/>
    <mergeCell ref="E4:E5"/>
    <mergeCell ref="H4:H5"/>
  </mergeCells>
  <printOptions horizontalCentered="1"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zoomScaleSheetLayoutView="100" zoomScalePageLayoutView="0" workbookViewId="0" topLeftCell="A1">
      <selection activeCell="F35" sqref="F35"/>
    </sheetView>
  </sheetViews>
  <sheetFormatPr defaultColWidth="9.00390625" defaultRowHeight="14.25"/>
  <cols>
    <col min="1" max="1" width="3.625" style="65" customWidth="1"/>
    <col min="2" max="2" width="5.125" style="53" customWidth="1"/>
    <col min="3" max="3" width="7.625" style="53" customWidth="1"/>
    <col min="4" max="4" width="18.125" style="53" customWidth="1"/>
    <col min="5" max="5" width="6.375" style="66" customWidth="1"/>
    <col min="6" max="6" width="8.625" style="66" customWidth="1"/>
    <col min="7" max="7" width="15.25390625" style="67" customWidth="1"/>
    <col min="8" max="8" width="9.625" style="53" customWidth="1"/>
    <col min="9" max="9" width="8.875" style="66" customWidth="1"/>
    <col min="10" max="10" width="8.50390625" style="66" customWidth="1"/>
    <col min="11" max="11" width="8.625" style="66" customWidth="1"/>
    <col min="12" max="12" width="8.50390625" style="66" customWidth="1"/>
    <col min="13" max="13" width="15.50390625" style="66" customWidth="1"/>
    <col min="14" max="14" width="20.50390625" style="53" bestFit="1" customWidth="1"/>
    <col min="15" max="16384" width="9.00390625" style="53" customWidth="1"/>
  </cols>
  <sheetData>
    <row r="1" spans="1:2" ht="15.75" customHeight="1">
      <c r="A1" s="93" t="s">
        <v>76</v>
      </c>
      <c r="B1" s="93"/>
    </row>
    <row r="2" spans="1:13" ht="18.75">
      <c r="A2" s="94" t="s">
        <v>77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2.75">
      <c r="A3" s="95" t="s">
        <v>78</v>
      </c>
      <c r="B3" s="95"/>
      <c r="L3" s="96" t="s">
        <v>79</v>
      </c>
      <c r="M3" s="96"/>
    </row>
    <row r="4" spans="1:13" ht="15.75" customHeight="1">
      <c r="A4" s="97" t="s">
        <v>80</v>
      </c>
      <c r="B4" s="99" t="s">
        <v>81</v>
      </c>
      <c r="C4" s="99" t="s">
        <v>82</v>
      </c>
      <c r="D4" s="99" t="s">
        <v>83</v>
      </c>
      <c r="E4" s="99" t="s">
        <v>84</v>
      </c>
      <c r="F4" s="101" t="s">
        <v>85</v>
      </c>
      <c r="G4" s="103" t="s">
        <v>86</v>
      </c>
      <c r="H4" s="99" t="s">
        <v>87</v>
      </c>
      <c r="I4" s="105" t="s">
        <v>88</v>
      </c>
      <c r="J4" s="106"/>
      <c r="K4" s="106"/>
      <c r="L4" s="107"/>
      <c r="M4" s="99" t="s">
        <v>89</v>
      </c>
    </row>
    <row r="5" spans="1:13" ht="24.75" customHeight="1">
      <c r="A5" s="98"/>
      <c r="B5" s="100"/>
      <c r="C5" s="100"/>
      <c r="D5" s="100"/>
      <c r="E5" s="100"/>
      <c r="F5" s="102"/>
      <c r="G5" s="104"/>
      <c r="H5" s="100"/>
      <c r="I5" s="52" t="s">
        <v>90</v>
      </c>
      <c r="J5" s="52" t="s">
        <v>91</v>
      </c>
      <c r="K5" s="52" t="s">
        <v>92</v>
      </c>
      <c r="L5" s="68" t="s">
        <v>93</v>
      </c>
      <c r="M5" s="100"/>
    </row>
    <row r="6" spans="1:13" ht="25.5" customHeight="1">
      <c r="A6" s="45">
        <v>1</v>
      </c>
      <c r="B6" s="52" t="s">
        <v>94</v>
      </c>
      <c r="C6" s="46" t="s">
        <v>95</v>
      </c>
      <c r="D6" s="46" t="s">
        <v>96</v>
      </c>
      <c r="E6" s="48">
        <v>0.079</v>
      </c>
      <c r="F6" s="52" t="s">
        <v>97</v>
      </c>
      <c r="G6" s="49">
        <v>41173</v>
      </c>
      <c r="H6" s="69">
        <v>80000</v>
      </c>
      <c r="I6" s="51">
        <f>82068392.88/10000</f>
        <v>8206.839288</v>
      </c>
      <c r="J6" s="69">
        <f>41795499.14/10000</f>
        <v>4179.549914</v>
      </c>
      <c r="K6" s="52">
        <f>32448870.48/10000</f>
        <v>3244.887048</v>
      </c>
      <c r="L6" s="52">
        <f>7824023.26/10000</f>
        <v>782.402326</v>
      </c>
      <c r="M6" s="101" t="s">
        <v>98</v>
      </c>
    </row>
    <row r="7" spans="1:13" ht="12.75" customHeight="1">
      <c r="A7" s="45">
        <v>2</v>
      </c>
      <c r="B7" s="52" t="s">
        <v>94</v>
      </c>
      <c r="C7" s="46" t="s">
        <v>95</v>
      </c>
      <c r="D7" s="46" t="s">
        <v>99</v>
      </c>
      <c r="E7" s="48">
        <v>0.05243</v>
      </c>
      <c r="F7" s="52" t="s">
        <v>97</v>
      </c>
      <c r="G7" s="49">
        <v>41275</v>
      </c>
      <c r="H7" s="69">
        <f>909661992.76/10000</f>
        <v>90966.199276</v>
      </c>
      <c r="I7" s="51">
        <f>157993465.62/10000</f>
        <v>15799.346562</v>
      </c>
      <c r="J7" s="69">
        <f>61656381.04/10000</f>
        <v>6165.638104</v>
      </c>
      <c r="K7" s="52">
        <f>56107282.95/10000</f>
        <v>5610.728295</v>
      </c>
      <c r="L7" s="52">
        <f>40229801.63/10000</f>
        <v>4022.980163</v>
      </c>
      <c r="M7" s="108"/>
    </row>
    <row r="8" spans="1:13" ht="12" customHeight="1">
      <c r="A8" s="45">
        <v>3</v>
      </c>
      <c r="B8" s="52" t="s">
        <v>94</v>
      </c>
      <c r="C8" s="46" t="s">
        <v>95</v>
      </c>
      <c r="D8" s="46" t="s">
        <v>99</v>
      </c>
      <c r="E8" s="48">
        <v>0.05243</v>
      </c>
      <c r="F8" s="52" t="s">
        <v>97</v>
      </c>
      <c r="G8" s="49">
        <v>42084</v>
      </c>
      <c r="H8" s="69">
        <f>89067510.89/10000</f>
        <v>8906.751089</v>
      </c>
      <c r="I8" s="52">
        <f>3939010.67/10000</f>
        <v>393.901067</v>
      </c>
      <c r="J8" s="69"/>
      <c r="K8" s="52"/>
      <c r="L8" s="52">
        <f>3939010.67/10000</f>
        <v>393.901067</v>
      </c>
      <c r="M8" s="108"/>
    </row>
    <row r="9" spans="1:13" ht="12" customHeight="1">
      <c r="A9" s="45">
        <v>4</v>
      </c>
      <c r="B9" s="46" t="s">
        <v>100</v>
      </c>
      <c r="C9" s="46" t="s">
        <v>95</v>
      </c>
      <c r="D9" s="46" t="s">
        <v>99</v>
      </c>
      <c r="E9" s="48">
        <v>0.0524</v>
      </c>
      <c r="F9" s="52" t="s">
        <v>97</v>
      </c>
      <c r="G9" s="49">
        <v>41544</v>
      </c>
      <c r="H9" s="69">
        <f>250000000/10000</f>
        <v>25000</v>
      </c>
      <c r="I9" s="51">
        <f>29649305.56/10000</f>
        <v>2964.930556</v>
      </c>
      <c r="J9" s="51">
        <f>15127777.78/10000</f>
        <v>1512.777778</v>
      </c>
      <c r="K9" s="51">
        <f>3465277.78/10000</f>
        <v>346.52777799999996</v>
      </c>
      <c r="L9" s="52">
        <f>11056250/10000</f>
        <v>1105.625</v>
      </c>
      <c r="M9" s="108"/>
    </row>
    <row r="10" spans="1:13" ht="13.5" customHeight="1">
      <c r="A10" s="45">
        <v>5</v>
      </c>
      <c r="B10" s="52" t="s">
        <v>101</v>
      </c>
      <c r="C10" s="46" t="s">
        <v>95</v>
      </c>
      <c r="D10" s="46" t="s">
        <v>102</v>
      </c>
      <c r="E10" s="48">
        <v>0.0655</v>
      </c>
      <c r="F10" s="52" t="s">
        <v>97</v>
      </c>
      <c r="G10" s="49">
        <v>41600</v>
      </c>
      <c r="H10" s="69">
        <f>113946042.17/10000</f>
        <v>11394.604217</v>
      </c>
      <c r="I10" s="51">
        <f>17715444.39/10000</f>
        <v>1771.544439</v>
      </c>
      <c r="J10" s="51">
        <f>6895001.62/10000</f>
        <v>689.500162</v>
      </c>
      <c r="K10" s="51">
        <f>5781179.06/10000</f>
        <v>578.117906</v>
      </c>
      <c r="L10" s="52">
        <f>5039263.71/10000</f>
        <v>503.926371</v>
      </c>
      <c r="M10" s="108"/>
    </row>
    <row r="11" spans="1:13" ht="12" customHeight="1">
      <c r="A11" s="45">
        <v>6</v>
      </c>
      <c r="B11" s="52" t="s">
        <v>101</v>
      </c>
      <c r="C11" s="46" t="s">
        <v>95</v>
      </c>
      <c r="D11" s="46" t="s">
        <v>102</v>
      </c>
      <c r="E11" s="48">
        <v>0.0655</v>
      </c>
      <c r="F11" s="52" t="s">
        <v>97</v>
      </c>
      <c r="G11" s="49">
        <v>41026</v>
      </c>
      <c r="H11" s="69">
        <f>300000000/10000</f>
        <v>30000</v>
      </c>
      <c r="I11" s="51">
        <f>46641666.67/10000</f>
        <v>4664.166667</v>
      </c>
      <c r="J11" s="51">
        <f>18153333.33/10000</f>
        <v>1815.3333329999998</v>
      </c>
      <c r="K11" s="51">
        <f>15220833.34/10000</f>
        <v>1522.083334</v>
      </c>
      <c r="L11" s="52">
        <f>13267500/10000</f>
        <v>1326.75</v>
      </c>
      <c r="M11" s="108"/>
    </row>
    <row r="12" spans="1:13" ht="12.75" customHeight="1">
      <c r="A12" s="45">
        <v>7</v>
      </c>
      <c r="B12" s="52" t="s">
        <v>101</v>
      </c>
      <c r="C12" s="46" t="s">
        <v>95</v>
      </c>
      <c r="D12" s="46" t="s">
        <v>99</v>
      </c>
      <c r="E12" s="48">
        <v>0.05243</v>
      </c>
      <c r="F12" s="52" t="s">
        <v>97</v>
      </c>
      <c r="G12" s="49">
        <v>41275</v>
      </c>
      <c r="H12" s="69">
        <f>1350000000/10000</f>
        <v>135000</v>
      </c>
      <c r="I12" s="51">
        <f>201207500.01/10000</f>
        <v>20120.750001</v>
      </c>
      <c r="J12" s="51">
        <f>73010000.01/10000</f>
        <v>7301.000001</v>
      </c>
      <c r="K12" s="51">
        <f>68493750/10000</f>
        <v>6849.375</v>
      </c>
      <c r="L12" s="52">
        <f>59703750/10000</f>
        <v>5970.375</v>
      </c>
      <c r="M12" s="108"/>
    </row>
    <row r="13" spans="1:13" ht="12.75" customHeight="1">
      <c r="A13" s="45">
        <v>8</v>
      </c>
      <c r="B13" s="52" t="s">
        <v>101</v>
      </c>
      <c r="C13" s="46" t="s">
        <v>95</v>
      </c>
      <c r="D13" s="46" t="s">
        <v>99</v>
      </c>
      <c r="E13" s="48">
        <v>0.05243</v>
      </c>
      <c r="F13" s="52" t="s">
        <v>97</v>
      </c>
      <c r="G13" s="49">
        <v>42084</v>
      </c>
      <c r="H13" s="69">
        <f>250000000/10000</f>
        <v>25000</v>
      </c>
      <c r="I13" s="51">
        <f>20274999.99/10000</f>
        <v>2027.499999</v>
      </c>
      <c r="J13" s="51"/>
      <c r="K13" s="52">
        <f>9218749.99/10000</f>
        <v>921.874999</v>
      </c>
      <c r="L13" s="52">
        <f>11056250/10000</f>
        <v>1105.625</v>
      </c>
      <c r="M13" s="102"/>
    </row>
    <row r="14" spans="1:13" ht="15" customHeight="1">
      <c r="A14" s="45">
        <v>9</v>
      </c>
      <c r="B14" s="46" t="s">
        <v>61</v>
      </c>
      <c r="C14" s="46" t="s">
        <v>60</v>
      </c>
      <c r="D14" s="47" t="s">
        <v>62</v>
      </c>
      <c r="E14" s="48">
        <v>0.012</v>
      </c>
      <c r="F14" s="48">
        <v>0.012</v>
      </c>
      <c r="G14" s="49">
        <v>42258</v>
      </c>
      <c r="H14" s="50">
        <v>10000</v>
      </c>
      <c r="I14" s="51">
        <f>K14+L14</f>
        <v>157</v>
      </c>
      <c r="J14" s="51"/>
      <c r="K14" s="52">
        <v>37</v>
      </c>
      <c r="L14" s="52">
        <v>120</v>
      </c>
      <c r="M14" s="52"/>
    </row>
    <row r="15" spans="1:13" ht="13.5" customHeight="1">
      <c r="A15" s="45">
        <v>10</v>
      </c>
      <c r="B15" s="46" t="s">
        <v>63</v>
      </c>
      <c r="C15" s="46" t="s">
        <v>60</v>
      </c>
      <c r="D15" s="47" t="s">
        <v>62</v>
      </c>
      <c r="E15" s="48">
        <v>0.012</v>
      </c>
      <c r="F15" s="48">
        <v>0.012</v>
      </c>
      <c r="G15" s="49">
        <v>42264</v>
      </c>
      <c r="H15" s="50">
        <v>50000</v>
      </c>
      <c r="I15" s="51">
        <f aca="true" t="shared" si="0" ref="I15:I21">K15+L15</f>
        <v>775</v>
      </c>
      <c r="J15" s="51"/>
      <c r="K15" s="52">
        <v>175</v>
      </c>
      <c r="L15" s="52">
        <v>600</v>
      </c>
      <c r="M15" s="52"/>
    </row>
    <row r="16" spans="1:13" ht="15" customHeight="1">
      <c r="A16" s="45">
        <v>11</v>
      </c>
      <c r="B16" s="46" t="s">
        <v>64</v>
      </c>
      <c r="C16" s="46" t="s">
        <v>60</v>
      </c>
      <c r="D16" s="47" t="s">
        <v>62</v>
      </c>
      <c r="E16" s="48">
        <v>0.012</v>
      </c>
      <c r="F16" s="48">
        <v>0.012</v>
      </c>
      <c r="G16" s="49">
        <v>42265</v>
      </c>
      <c r="H16" s="50">
        <v>16400</v>
      </c>
      <c r="I16" s="51">
        <f t="shared" si="0"/>
        <v>253.65</v>
      </c>
      <c r="J16" s="51"/>
      <c r="K16" s="52">
        <v>56.85</v>
      </c>
      <c r="L16" s="52">
        <v>196.8</v>
      </c>
      <c r="M16" s="52"/>
    </row>
    <row r="17" spans="1:13" ht="15" customHeight="1">
      <c r="A17" s="45">
        <v>12</v>
      </c>
      <c r="B17" s="46" t="s">
        <v>65</v>
      </c>
      <c r="C17" s="46" t="s">
        <v>60</v>
      </c>
      <c r="D17" s="47" t="s">
        <v>62</v>
      </c>
      <c r="E17" s="48">
        <v>0.012</v>
      </c>
      <c r="F17" s="48">
        <v>0.012</v>
      </c>
      <c r="G17" s="49">
        <v>42269</v>
      </c>
      <c r="H17" s="50">
        <v>10000</v>
      </c>
      <c r="I17" s="51">
        <f t="shared" si="0"/>
        <v>153.32999999999998</v>
      </c>
      <c r="J17" s="51"/>
      <c r="K17" s="52">
        <v>33.33</v>
      </c>
      <c r="L17" s="52">
        <v>120</v>
      </c>
      <c r="M17" s="52"/>
    </row>
    <row r="18" spans="1:13" ht="15" customHeight="1">
      <c r="A18" s="45">
        <v>13</v>
      </c>
      <c r="B18" s="46" t="s">
        <v>66</v>
      </c>
      <c r="C18" s="46" t="s">
        <v>60</v>
      </c>
      <c r="D18" s="47" t="s">
        <v>62</v>
      </c>
      <c r="E18" s="48">
        <v>0.012</v>
      </c>
      <c r="F18" s="48">
        <v>0.012</v>
      </c>
      <c r="G18" s="49">
        <v>42269</v>
      </c>
      <c r="H18" s="50">
        <v>53600</v>
      </c>
      <c r="I18" s="51">
        <f t="shared" si="0"/>
        <v>821.87</v>
      </c>
      <c r="J18" s="51"/>
      <c r="K18" s="52">
        <v>178.67</v>
      </c>
      <c r="L18" s="52">
        <v>643.2</v>
      </c>
      <c r="M18" s="52"/>
    </row>
    <row r="19" spans="1:13" ht="15" customHeight="1">
      <c r="A19" s="45">
        <v>14</v>
      </c>
      <c r="B19" s="46" t="s">
        <v>67</v>
      </c>
      <c r="C19" s="46" t="s">
        <v>60</v>
      </c>
      <c r="D19" s="47" t="s">
        <v>62</v>
      </c>
      <c r="E19" s="48">
        <v>0.012</v>
      </c>
      <c r="F19" s="48">
        <v>0.012</v>
      </c>
      <c r="G19" s="49">
        <v>42320</v>
      </c>
      <c r="H19" s="50">
        <v>10000</v>
      </c>
      <c r="I19" s="51">
        <f t="shared" si="0"/>
        <v>136.32999999999998</v>
      </c>
      <c r="J19" s="51"/>
      <c r="K19" s="52">
        <v>16.33</v>
      </c>
      <c r="L19" s="52">
        <v>120</v>
      </c>
      <c r="M19" s="52"/>
    </row>
    <row r="20" spans="1:13" ht="15" customHeight="1">
      <c r="A20" s="45">
        <v>15</v>
      </c>
      <c r="B20" s="46" t="s">
        <v>65</v>
      </c>
      <c r="C20" s="46" t="s">
        <v>60</v>
      </c>
      <c r="D20" s="47" t="s">
        <v>68</v>
      </c>
      <c r="E20" s="48">
        <v>0.012</v>
      </c>
      <c r="F20" s="48">
        <v>0.012</v>
      </c>
      <c r="G20" s="49">
        <v>42356</v>
      </c>
      <c r="H20" s="50">
        <v>10000</v>
      </c>
      <c r="I20" s="51">
        <f t="shared" si="0"/>
        <v>124.33</v>
      </c>
      <c r="J20" s="51"/>
      <c r="K20" s="52">
        <v>4.33</v>
      </c>
      <c r="L20" s="52">
        <v>120</v>
      </c>
      <c r="M20" s="52"/>
    </row>
    <row r="21" spans="1:13" ht="15" customHeight="1">
      <c r="A21" s="45">
        <v>16</v>
      </c>
      <c r="B21" s="46" t="s">
        <v>61</v>
      </c>
      <c r="C21" s="46" t="s">
        <v>60</v>
      </c>
      <c r="D21" s="47" t="s">
        <v>68</v>
      </c>
      <c r="E21" s="48">
        <v>0.012</v>
      </c>
      <c r="F21" s="48">
        <v>0.012</v>
      </c>
      <c r="G21" s="49">
        <v>42374</v>
      </c>
      <c r="H21" s="50">
        <v>10000</v>
      </c>
      <c r="I21" s="51">
        <f t="shared" si="0"/>
        <v>120</v>
      </c>
      <c r="J21" s="51"/>
      <c r="K21" s="52"/>
      <c r="L21" s="52">
        <v>120</v>
      </c>
      <c r="M21" s="52"/>
    </row>
    <row r="22" spans="1:13" ht="15" customHeight="1">
      <c r="A22" s="45"/>
      <c r="B22" s="63" t="s">
        <v>13</v>
      </c>
      <c r="C22" s="70"/>
      <c r="D22" s="70"/>
      <c r="E22" s="52"/>
      <c r="F22" s="52"/>
      <c r="G22" s="71"/>
      <c r="H22" s="70"/>
      <c r="I22" s="51">
        <f>J22+K22+L22</f>
        <v>58490.48857900001</v>
      </c>
      <c r="J22" s="52">
        <f>SUM(J6:J21)</f>
        <v>21663.799292000003</v>
      </c>
      <c r="K22" s="52">
        <f>SUM(K6:K21)</f>
        <v>19575.10436</v>
      </c>
      <c r="L22" s="52">
        <f>SUM(L6:L21)</f>
        <v>17251.584927</v>
      </c>
      <c r="M22" s="52"/>
    </row>
    <row r="23" spans="1:13" ht="15" customHeight="1">
      <c r="A23" s="109" t="s">
        <v>103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</row>
    <row r="24" spans="1:8" ht="12.75" customHeight="1">
      <c r="A24" s="72" t="s">
        <v>104</v>
      </c>
      <c r="B24" s="72"/>
      <c r="C24" s="72"/>
      <c r="D24" s="72"/>
      <c r="E24" s="72"/>
      <c r="F24" s="72"/>
      <c r="G24" s="73"/>
      <c r="H24" s="72"/>
    </row>
    <row r="25" spans="1:8" ht="15" customHeight="1">
      <c r="A25" s="72" t="s">
        <v>105</v>
      </c>
      <c r="B25" s="72"/>
      <c r="C25" s="72"/>
      <c r="D25" s="72"/>
      <c r="E25" s="72"/>
      <c r="F25" s="72"/>
      <c r="G25" s="73"/>
      <c r="H25" s="72"/>
    </row>
    <row r="26" spans="1:7" ht="12.75">
      <c r="A26" s="53"/>
      <c r="E26" s="53"/>
      <c r="F26" s="53"/>
      <c r="G26" s="74"/>
    </row>
  </sheetData>
  <sheetProtection/>
  <mergeCells count="16">
    <mergeCell ref="G4:G5"/>
    <mergeCell ref="H4:H5"/>
    <mergeCell ref="I4:L4"/>
    <mergeCell ref="M4:M5"/>
    <mergeCell ref="M6:M13"/>
    <mergeCell ref="A23:M23"/>
    <mergeCell ref="A1:B1"/>
    <mergeCell ref="A2:M2"/>
    <mergeCell ref="A3:B3"/>
    <mergeCell ref="L3:M3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微软用户</cp:lastModifiedBy>
  <cp:lastPrinted>2016-05-03T09:14:55Z</cp:lastPrinted>
  <dcterms:created xsi:type="dcterms:W3CDTF">2011-09-13T11:12:31Z</dcterms:created>
  <dcterms:modified xsi:type="dcterms:W3CDTF">2016-05-03T09:15:00Z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